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ottsFiles\Documents\Work\0 - ExcelModels\Website\PUBLISHED\"/>
    </mc:Choice>
  </mc:AlternateContent>
  <xr:revisionPtr revIDLastSave="0" documentId="8_{736B5242-A3D2-4960-9B18-98349CC79463}" xr6:coauthVersionLast="37" xr6:coauthVersionMax="37" xr10:uidLastSave="{00000000-0000-0000-0000-000000000000}"/>
  <bookViews>
    <workbookView xWindow="240" yWindow="120" windowWidth="20115" windowHeight="7995" xr2:uid="{00000000-000D-0000-FFFF-FFFF00000000}"/>
  </bookViews>
  <sheets>
    <sheet name="Income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4" i="1" l="1"/>
  <c r="C52" i="1"/>
  <c r="BV33" i="1"/>
  <c r="BV32" i="1"/>
  <c r="BU32" i="1"/>
  <c r="BX33" i="1"/>
  <c r="BY33" i="1" s="1"/>
  <c r="BS6" i="1"/>
  <c r="BS5" i="1"/>
  <c r="BS61" i="1"/>
  <c r="BS60" i="1"/>
  <c r="BS59" i="1"/>
  <c r="BS58" i="1"/>
  <c r="BS57" i="1"/>
  <c r="BX21" i="1"/>
  <c r="BW21" i="1"/>
  <c r="BV21" i="1"/>
  <c r="BU21" i="1"/>
  <c r="BT21" i="1"/>
  <c r="BX11" i="1"/>
  <c r="BW11" i="1"/>
  <c r="BV11" i="1"/>
  <c r="BU11" i="1"/>
  <c r="BT11" i="1"/>
  <c r="BX4" i="1"/>
  <c r="BW4" i="1"/>
  <c r="BV4" i="1"/>
  <c r="BU4" i="1"/>
  <c r="BT4" i="1"/>
  <c r="BQ11" i="1" l="1"/>
  <c r="BD11" i="1"/>
  <c r="AQ11" i="1"/>
  <c r="AD11" i="1"/>
  <c r="BS47" i="1"/>
  <c r="BT47" i="1"/>
  <c r="BS44" i="1"/>
  <c r="BT44" i="1"/>
  <c r="BS45" i="1"/>
  <c r="BT45" i="1"/>
  <c r="BS46" i="1"/>
  <c r="BT46" i="1"/>
  <c r="BS12" i="1" l="1"/>
  <c r="Q11" i="1"/>
  <c r="BS14" i="1"/>
  <c r="BX7" i="1"/>
  <c r="BW7" i="1"/>
  <c r="BV7" i="1"/>
  <c r="BU7" i="1"/>
  <c r="BT7" i="1"/>
  <c r="BQ7" i="1"/>
  <c r="BD7" i="1"/>
  <c r="AQ7" i="1"/>
  <c r="AD7" i="1"/>
  <c r="Q7" i="1"/>
  <c r="BP8" i="1"/>
  <c r="BO8" i="1"/>
  <c r="BN8" i="1"/>
  <c r="BM8" i="1"/>
  <c r="BL8" i="1"/>
  <c r="BK8" i="1"/>
  <c r="BJ8" i="1"/>
  <c r="BI8" i="1"/>
  <c r="BH8" i="1"/>
  <c r="BG8" i="1"/>
  <c r="BF8" i="1"/>
  <c r="BE8" i="1"/>
  <c r="BC8" i="1"/>
  <c r="BB8" i="1"/>
  <c r="BA8" i="1"/>
  <c r="AZ8" i="1"/>
  <c r="AY8" i="1"/>
  <c r="AX8" i="1"/>
  <c r="AW8" i="1"/>
  <c r="AV8" i="1"/>
  <c r="AU8" i="1"/>
  <c r="AT8" i="1"/>
  <c r="AS8" i="1"/>
  <c r="AR8" i="1"/>
  <c r="AP8" i="1"/>
  <c r="AO8" i="1"/>
  <c r="AN8" i="1"/>
  <c r="AM8" i="1"/>
  <c r="AL8" i="1"/>
  <c r="AK8" i="1"/>
  <c r="AJ8" i="1"/>
  <c r="AI8" i="1"/>
  <c r="AH8" i="1"/>
  <c r="AG8" i="1"/>
  <c r="AF8" i="1"/>
  <c r="AE8" i="1"/>
  <c r="AC8" i="1"/>
  <c r="AB8" i="1"/>
  <c r="AA8" i="1"/>
  <c r="Z8" i="1"/>
  <c r="Y8" i="1"/>
  <c r="X8" i="1"/>
  <c r="W8" i="1"/>
  <c r="V8" i="1"/>
  <c r="U8" i="1"/>
  <c r="T8" i="1"/>
  <c r="S8" i="1"/>
  <c r="R8" i="1"/>
  <c r="P8" i="1"/>
  <c r="O8" i="1"/>
  <c r="N8" i="1"/>
  <c r="M8" i="1"/>
  <c r="L8" i="1"/>
  <c r="K8" i="1"/>
  <c r="J8" i="1"/>
  <c r="I8" i="1"/>
  <c r="H8" i="1"/>
  <c r="G8" i="1"/>
  <c r="F8" i="1"/>
  <c r="E8" i="1"/>
  <c r="BX14" i="1" l="1"/>
  <c r="BW14" i="1"/>
  <c r="BV14" i="1"/>
  <c r="BU14" i="1"/>
  <c r="BT14" i="1"/>
  <c r="BX5" i="1"/>
  <c r="BX6" i="1"/>
  <c r="BW5" i="1"/>
  <c r="BW6" i="1"/>
  <c r="BV5" i="1"/>
  <c r="BV6" i="1"/>
  <c r="BU5" i="1"/>
  <c r="BU6" i="1"/>
  <c r="BT5" i="1"/>
  <c r="BT6" i="1"/>
  <c r="C58" i="1" l="1"/>
  <c r="D58" i="1" s="1"/>
  <c r="C46" i="1" l="1"/>
  <c r="BE33" i="1"/>
  <c r="AR33" i="1"/>
  <c r="AE33" i="1"/>
  <c r="R33" i="1"/>
  <c r="S33" i="1" s="1"/>
  <c r="T33" i="1" s="1"/>
  <c r="U33" i="1" s="1"/>
  <c r="V33" i="1" s="1"/>
  <c r="W33" i="1" s="1"/>
  <c r="X33" i="1" s="1"/>
  <c r="Y33" i="1" s="1"/>
  <c r="Z33" i="1" s="1"/>
  <c r="AA33" i="1" s="1"/>
  <c r="AB33" i="1" s="1"/>
  <c r="E33" i="1"/>
  <c r="BE6" i="1"/>
  <c r="BE5" i="1"/>
  <c r="AR6" i="1"/>
  <c r="AR5" i="1"/>
  <c r="AE6" i="1"/>
  <c r="AE5" i="1"/>
  <c r="R6" i="1"/>
  <c r="R5" i="1"/>
  <c r="E6" i="1"/>
  <c r="F6" i="1" s="1"/>
  <c r="E5" i="1"/>
  <c r="C18" i="1"/>
  <c r="C24" i="1" s="1"/>
  <c r="C45" i="1" l="1"/>
  <c r="BW32" i="1" s="1"/>
  <c r="BX32" i="1" s="1"/>
  <c r="BY32" i="1" s="1"/>
  <c r="BY34" i="1"/>
  <c r="BU46" i="1"/>
  <c r="BU47" i="1"/>
  <c r="BU45" i="1"/>
  <c r="BU44" i="1"/>
  <c r="R7" i="1"/>
  <c r="AR7" i="1"/>
  <c r="BE7" i="1"/>
  <c r="AE7" i="1"/>
  <c r="E7" i="1"/>
  <c r="F5" i="1"/>
  <c r="F7" i="1" s="1"/>
  <c r="BF33" i="1"/>
  <c r="BG33" i="1" s="1"/>
  <c r="BH33" i="1" s="1"/>
  <c r="BI33" i="1" s="1"/>
  <c r="BJ33" i="1" s="1"/>
  <c r="BK33" i="1" s="1"/>
  <c r="BL33" i="1" s="1"/>
  <c r="BM33" i="1" s="1"/>
  <c r="BN33" i="1" s="1"/>
  <c r="BO33" i="1" s="1"/>
  <c r="AS33" i="1"/>
  <c r="AT33" i="1" s="1"/>
  <c r="AU33" i="1" s="1"/>
  <c r="AV33" i="1" s="1"/>
  <c r="AW33" i="1" s="1"/>
  <c r="AX33" i="1" s="1"/>
  <c r="AY33" i="1" s="1"/>
  <c r="AZ33" i="1" s="1"/>
  <c r="BA33" i="1" s="1"/>
  <c r="BB33" i="1" s="1"/>
  <c r="AF33" i="1"/>
  <c r="AG33" i="1" s="1"/>
  <c r="AH33" i="1" s="1"/>
  <c r="AI33" i="1" s="1"/>
  <c r="AJ33" i="1" s="1"/>
  <c r="AK33" i="1" s="1"/>
  <c r="AL33" i="1" s="1"/>
  <c r="AM33" i="1" s="1"/>
  <c r="AN33" i="1" s="1"/>
  <c r="AO33" i="1" s="1"/>
  <c r="AC33" i="1"/>
  <c r="F33" i="1"/>
  <c r="BF5" i="1"/>
  <c r="BF6" i="1"/>
  <c r="AS5" i="1"/>
  <c r="AS6" i="1"/>
  <c r="AF5" i="1"/>
  <c r="AF6" i="1"/>
  <c r="AF7" i="1" s="1"/>
  <c r="S5" i="1"/>
  <c r="S6" i="1"/>
  <c r="G6" i="1"/>
  <c r="C53" i="1" l="1"/>
  <c r="AS7" i="1"/>
  <c r="S7" i="1"/>
  <c r="BF7" i="1"/>
  <c r="BG5" i="1"/>
  <c r="AT5" i="1"/>
  <c r="AG5" i="1"/>
  <c r="T5" i="1"/>
  <c r="G5" i="1"/>
  <c r="G7" i="1" s="1"/>
  <c r="AG6" i="1"/>
  <c r="H6" i="1"/>
  <c r="BG6" i="1"/>
  <c r="T6" i="1"/>
  <c r="AT6" i="1"/>
  <c r="AT7" i="1" s="1"/>
  <c r="BP33" i="1"/>
  <c r="BC33" i="1"/>
  <c r="AP33" i="1"/>
  <c r="G33" i="1"/>
  <c r="AG7" i="1" l="1"/>
  <c r="T7" i="1"/>
  <c r="BG7" i="1"/>
  <c r="BH5" i="1"/>
  <c r="AU5" i="1"/>
  <c r="AH5" i="1"/>
  <c r="U5" i="1"/>
  <c r="H5" i="1"/>
  <c r="H7" i="1" s="1"/>
  <c r="AU6" i="1"/>
  <c r="U6" i="1"/>
  <c r="BH6" i="1"/>
  <c r="I6" i="1"/>
  <c r="AH6" i="1"/>
  <c r="BE32" i="1"/>
  <c r="H33" i="1"/>
  <c r="AU7" i="1" l="1"/>
  <c r="AH7" i="1"/>
  <c r="BH7" i="1"/>
  <c r="U7" i="1"/>
  <c r="BI5" i="1"/>
  <c r="AV5" i="1"/>
  <c r="AI5" i="1"/>
  <c r="V5" i="1"/>
  <c r="I5" i="1"/>
  <c r="I7" i="1" s="1"/>
  <c r="AI6" i="1"/>
  <c r="J6" i="1"/>
  <c r="BI6" i="1"/>
  <c r="V6" i="1"/>
  <c r="AV6" i="1"/>
  <c r="AV7" i="1" s="1"/>
  <c r="BF32" i="1"/>
  <c r="BG32" i="1" s="1"/>
  <c r="BH32" i="1" s="1"/>
  <c r="BI32" i="1" s="1"/>
  <c r="BJ32" i="1" s="1"/>
  <c r="BK32" i="1" s="1"/>
  <c r="BL32" i="1" s="1"/>
  <c r="BM32" i="1" s="1"/>
  <c r="BN32" i="1" s="1"/>
  <c r="BO32" i="1" s="1"/>
  <c r="I33" i="1"/>
  <c r="V7" i="1" l="1"/>
  <c r="BI7" i="1"/>
  <c r="AI7" i="1"/>
  <c r="BJ5" i="1"/>
  <c r="AW5" i="1"/>
  <c r="AJ5" i="1"/>
  <c r="W5" i="1"/>
  <c r="J5" i="1"/>
  <c r="J7" i="1" s="1"/>
  <c r="E32" i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AW6" i="1"/>
  <c r="K6" i="1"/>
  <c r="R32" i="1"/>
  <c r="S32" i="1" s="1"/>
  <c r="T32" i="1" s="1"/>
  <c r="U32" i="1" s="1"/>
  <c r="V32" i="1" s="1"/>
  <c r="W32" i="1" s="1"/>
  <c r="X32" i="1" s="1"/>
  <c r="Y32" i="1" s="1"/>
  <c r="Z32" i="1" s="1"/>
  <c r="AA32" i="1" s="1"/>
  <c r="AB32" i="1" s="1"/>
  <c r="AR32" i="1"/>
  <c r="AS32" i="1" s="1"/>
  <c r="AT32" i="1" s="1"/>
  <c r="AU32" i="1" s="1"/>
  <c r="AV32" i="1" s="1"/>
  <c r="AW32" i="1" s="1"/>
  <c r="AX32" i="1" s="1"/>
  <c r="AY32" i="1" s="1"/>
  <c r="AZ32" i="1" s="1"/>
  <c r="BA32" i="1" s="1"/>
  <c r="BB32" i="1" s="1"/>
  <c r="W6" i="1"/>
  <c r="BJ6" i="1"/>
  <c r="BJ7" i="1" s="1"/>
  <c r="AJ6" i="1"/>
  <c r="BP32" i="1"/>
  <c r="J33" i="1"/>
  <c r="W7" i="1" l="1"/>
  <c r="AW7" i="1"/>
  <c r="AJ7" i="1"/>
  <c r="BK5" i="1"/>
  <c r="AX5" i="1"/>
  <c r="AK5" i="1"/>
  <c r="X5" i="1"/>
  <c r="K5" i="1"/>
  <c r="K7" i="1" s="1"/>
  <c r="BC32" i="1"/>
  <c r="P32" i="1"/>
  <c r="AC32" i="1"/>
  <c r="AK6" i="1"/>
  <c r="BK6" i="1"/>
  <c r="BK7" i="1" s="1"/>
  <c r="X6" i="1"/>
  <c r="AE32" i="1"/>
  <c r="AF32" i="1" s="1"/>
  <c r="AG32" i="1" s="1"/>
  <c r="AH32" i="1" s="1"/>
  <c r="AI32" i="1" s="1"/>
  <c r="AJ32" i="1" s="1"/>
  <c r="AK32" i="1" s="1"/>
  <c r="AL32" i="1" s="1"/>
  <c r="AM32" i="1" s="1"/>
  <c r="AN32" i="1" s="1"/>
  <c r="AO32" i="1" s="1"/>
  <c r="L6" i="1"/>
  <c r="AX6" i="1"/>
  <c r="K33" i="1"/>
  <c r="AX7" i="1" l="1"/>
  <c r="AK7" i="1"/>
  <c r="X7" i="1"/>
  <c r="BL5" i="1"/>
  <c r="AY5" i="1"/>
  <c r="AL5" i="1"/>
  <c r="Y5" i="1"/>
  <c r="L5" i="1"/>
  <c r="L7" i="1" s="1"/>
  <c r="AP32" i="1"/>
  <c r="AY6" i="1"/>
  <c r="M6" i="1"/>
  <c r="BL6" i="1"/>
  <c r="Y6" i="1"/>
  <c r="AL6" i="1"/>
  <c r="L33" i="1"/>
  <c r="AL7" i="1" l="1"/>
  <c r="BL7" i="1"/>
  <c r="Y7" i="1"/>
  <c r="AY7" i="1"/>
  <c r="BM5" i="1"/>
  <c r="AZ5" i="1"/>
  <c r="AM5" i="1"/>
  <c r="Z5" i="1"/>
  <c r="M5" i="1"/>
  <c r="M7" i="1" s="1"/>
  <c r="AM6" i="1"/>
  <c r="Z6" i="1"/>
  <c r="BM6" i="1"/>
  <c r="N6" i="1"/>
  <c r="AZ6" i="1"/>
  <c r="M33" i="1"/>
  <c r="AM7" i="1" l="1"/>
  <c r="AZ7" i="1"/>
  <c r="BM7" i="1"/>
  <c r="Z7" i="1"/>
  <c r="BN5" i="1"/>
  <c r="BA5" i="1"/>
  <c r="AN5" i="1"/>
  <c r="AA5" i="1"/>
  <c r="N5" i="1"/>
  <c r="N7" i="1" s="1"/>
  <c r="BA6" i="1"/>
  <c r="BN6" i="1"/>
  <c r="AN6" i="1"/>
  <c r="O6" i="1"/>
  <c r="AA6" i="1"/>
  <c r="N33" i="1"/>
  <c r="AA7" i="1" l="1"/>
  <c r="AN7" i="1"/>
  <c r="BN7" i="1"/>
  <c r="BA7" i="1"/>
  <c r="BO5" i="1"/>
  <c r="BB5" i="1"/>
  <c r="AO5" i="1"/>
  <c r="AB5" i="1"/>
  <c r="O5" i="1"/>
  <c r="O7" i="1" s="1"/>
  <c r="P6" i="1"/>
  <c r="AO6" i="1"/>
  <c r="BO6" i="1"/>
  <c r="AB6" i="1"/>
  <c r="BB6" i="1"/>
  <c r="O33" i="1"/>
  <c r="BO7" i="1" l="1"/>
  <c r="AB7" i="1"/>
  <c r="AO7" i="1"/>
  <c r="BB7" i="1"/>
  <c r="BP5" i="1"/>
  <c r="BC5" i="1"/>
  <c r="AP5" i="1"/>
  <c r="AC5" i="1"/>
  <c r="P5" i="1"/>
  <c r="P7" i="1" s="1"/>
  <c r="BP6" i="1"/>
  <c r="BC6" i="1"/>
  <c r="AP6" i="1"/>
  <c r="AC6" i="1"/>
  <c r="P33" i="1"/>
  <c r="BC7" i="1" l="1"/>
  <c r="AC7" i="1"/>
  <c r="AP7" i="1"/>
  <c r="BP7" i="1"/>
  <c r="Q12" i="1"/>
  <c r="Q16" i="1" l="1"/>
  <c r="E11" i="1"/>
  <c r="F11" i="1" s="1"/>
  <c r="G11" i="1" s="1"/>
  <c r="H11" i="1" s="1"/>
  <c r="Q17" i="1"/>
  <c r="Q28" i="1" s="1"/>
  <c r="Q20" i="1"/>
  <c r="E20" i="1" s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Q15" i="1"/>
  <c r="E15" i="1" s="1"/>
  <c r="Q22" i="1"/>
  <c r="BD22" i="1"/>
  <c r="BD17" i="1"/>
  <c r="BD20" i="1"/>
  <c r="AR20" i="1" s="1"/>
  <c r="AS20" i="1" s="1"/>
  <c r="AT20" i="1" s="1"/>
  <c r="AU20" i="1" s="1"/>
  <c r="AV20" i="1" s="1"/>
  <c r="AW20" i="1" s="1"/>
  <c r="AX20" i="1" s="1"/>
  <c r="AY20" i="1" s="1"/>
  <c r="AZ20" i="1" s="1"/>
  <c r="BA20" i="1" s="1"/>
  <c r="BB20" i="1" s="1"/>
  <c r="BD16" i="1"/>
  <c r="AQ17" i="1"/>
  <c r="AQ20" i="1"/>
  <c r="AE20" i="1" s="1"/>
  <c r="AF20" i="1" s="1"/>
  <c r="AG20" i="1" s="1"/>
  <c r="AH20" i="1" s="1"/>
  <c r="AI20" i="1" s="1"/>
  <c r="AJ20" i="1" s="1"/>
  <c r="AK20" i="1" s="1"/>
  <c r="AL20" i="1" s="1"/>
  <c r="AM20" i="1" s="1"/>
  <c r="AN20" i="1" s="1"/>
  <c r="AQ22" i="1"/>
  <c r="AE22" i="1" s="1"/>
  <c r="AF22" i="1" s="1"/>
  <c r="AG22" i="1" s="1"/>
  <c r="AH22" i="1" s="1"/>
  <c r="AI22" i="1" s="1"/>
  <c r="AJ22" i="1" s="1"/>
  <c r="AK22" i="1" s="1"/>
  <c r="AL22" i="1" s="1"/>
  <c r="AM22" i="1" s="1"/>
  <c r="AN22" i="1" s="1"/>
  <c r="AO22" i="1" s="1"/>
  <c r="AP22" i="1" s="1"/>
  <c r="AQ12" i="1"/>
  <c r="AE12" i="1" s="1"/>
  <c r="AF12" i="1" s="1"/>
  <c r="AG12" i="1" s="1"/>
  <c r="AH12" i="1" s="1"/>
  <c r="AI12" i="1" s="1"/>
  <c r="AJ12" i="1" s="1"/>
  <c r="AK12" i="1" s="1"/>
  <c r="AL12" i="1" s="1"/>
  <c r="AM12" i="1" s="1"/>
  <c r="AN12" i="1" s="1"/>
  <c r="AQ16" i="1"/>
  <c r="AE11" i="1"/>
  <c r="AQ15" i="1"/>
  <c r="AD17" i="1"/>
  <c r="AD28" i="1" s="1"/>
  <c r="AD22" i="1"/>
  <c r="AD20" i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R11" i="1"/>
  <c r="AD16" i="1"/>
  <c r="AD15" i="1"/>
  <c r="AD12" i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I11" i="1"/>
  <c r="Q13" i="1"/>
  <c r="E12" i="1"/>
  <c r="E22" i="1" l="1"/>
  <c r="F22" i="1" s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40" i="1"/>
  <c r="C40" i="1" s="1"/>
  <c r="BD28" i="1"/>
  <c r="BD27" i="1"/>
  <c r="BW22" i="1" s="1"/>
  <c r="AQ27" i="1"/>
  <c r="BV22" i="1" s="1"/>
  <c r="AQ28" i="1"/>
  <c r="E17" i="1"/>
  <c r="F17" i="1" s="1"/>
  <c r="Q27" i="1"/>
  <c r="BT22" i="1" s="1"/>
  <c r="AD27" i="1"/>
  <c r="BU22" i="1" s="1"/>
  <c r="Q18" i="1"/>
  <c r="Q19" i="1" s="1"/>
  <c r="Q21" i="1" s="1"/>
  <c r="E16" i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AD13" i="1"/>
  <c r="BD12" i="1"/>
  <c r="AR12" i="1" s="1"/>
  <c r="AS12" i="1" s="1"/>
  <c r="AT12" i="1" s="1"/>
  <c r="AU12" i="1" s="1"/>
  <c r="AV12" i="1" s="1"/>
  <c r="AW12" i="1" s="1"/>
  <c r="AX12" i="1" s="1"/>
  <c r="AY12" i="1" s="1"/>
  <c r="AZ12" i="1" s="1"/>
  <c r="BA12" i="1" s="1"/>
  <c r="BB12" i="1" s="1"/>
  <c r="AR11" i="1"/>
  <c r="AS11" i="1" s="1"/>
  <c r="BD15" i="1"/>
  <c r="AR15" i="1" s="1"/>
  <c r="AQ13" i="1"/>
  <c r="BQ17" i="1"/>
  <c r="BE11" i="1"/>
  <c r="BQ15" i="1"/>
  <c r="BQ20" i="1"/>
  <c r="BQ12" i="1"/>
  <c r="BQ16" i="1"/>
  <c r="BQ22" i="1"/>
  <c r="BE22" i="1" s="1"/>
  <c r="BF22" i="1" s="1"/>
  <c r="BG22" i="1" s="1"/>
  <c r="BH22" i="1" s="1"/>
  <c r="BI22" i="1" s="1"/>
  <c r="BJ22" i="1" s="1"/>
  <c r="BK22" i="1" s="1"/>
  <c r="BL22" i="1" s="1"/>
  <c r="BM22" i="1" s="1"/>
  <c r="BN22" i="1" s="1"/>
  <c r="BO22" i="1" s="1"/>
  <c r="BP22" i="1" s="1"/>
  <c r="AR22" i="1"/>
  <c r="AS22" i="1" s="1"/>
  <c r="AT22" i="1" s="1"/>
  <c r="AU22" i="1" s="1"/>
  <c r="AV22" i="1" s="1"/>
  <c r="AW22" i="1" s="1"/>
  <c r="AX22" i="1" s="1"/>
  <c r="AY22" i="1" s="1"/>
  <c r="AZ22" i="1" s="1"/>
  <c r="BA22" i="1" s="1"/>
  <c r="BB22" i="1" s="1"/>
  <c r="BC22" i="1" s="1"/>
  <c r="AR16" i="1"/>
  <c r="AS16" i="1" s="1"/>
  <c r="AT16" i="1" s="1"/>
  <c r="AU16" i="1" s="1"/>
  <c r="AV16" i="1" s="1"/>
  <c r="AW16" i="1" s="1"/>
  <c r="AX16" i="1" s="1"/>
  <c r="AY16" i="1" s="1"/>
  <c r="AZ16" i="1" s="1"/>
  <c r="BA16" i="1" s="1"/>
  <c r="BB16" i="1" s="1"/>
  <c r="AR17" i="1"/>
  <c r="AE16" i="1"/>
  <c r="AF16" i="1" s="1"/>
  <c r="AG16" i="1" s="1"/>
  <c r="AH16" i="1" s="1"/>
  <c r="AI16" i="1" s="1"/>
  <c r="AJ16" i="1" s="1"/>
  <c r="AK16" i="1" s="1"/>
  <c r="AL16" i="1" s="1"/>
  <c r="AM16" i="1" s="1"/>
  <c r="AN16" i="1" s="1"/>
  <c r="AO16" i="1" s="1"/>
  <c r="AP16" i="1" s="1"/>
  <c r="AQ18" i="1"/>
  <c r="AE15" i="1"/>
  <c r="AF11" i="1"/>
  <c r="AE13" i="1"/>
  <c r="AE17" i="1"/>
  <c r="S11" i="1"/>
  <c r="R13" i="1"/>
  <c r="R16" i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R22" i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R15" i="1"/>
  <c r="AD18" i="1"/>
  <c r="R17" i="1"/>
  <c r="F15" i="1"/>
  <c r="E13" i="1"/>
  <c r="F12" i="1"/>
  <c r="J11" i="1"/>
  <c r="AO12" i="1"/>
  <c r="AO20" i="1"/>
  <c r="BC20" i="1"/>
  <c r="AC20" i="1"/>
  <c r="AC12" i="1"/>
  <c r="P20" i="1"/>
  <c r="BU33" i="1" l="1"/>
  <c r="Q34" i="1"/>
  <c r="Q38" i="1" s="1"/>
  <c r="Q23" i="1"/>
  <c r="E23" i="1" s="1"/>
  <c r="R27" i="1"/>
  <c r="R28" i="1"/>
  <c r="R29" i="1" s="1"/>
  <c r="E27" i="1"/>
  <c r="E28" i="1"/>
  <c r="E29" i="1" s="1"/>
  <c r="AQ29" i="1"/>
  <c r="BV24" i="1" s="1"/>
  <c r="BV23" i="1"/>
  <c r="AR27" i="1"/>
  <c r="AR28" i="1"/>
  <c r="AR29" i="1" s="1"/>
  <c r="Q29" i="1"/>
  <c r="BT24" i="1" s="1"/>
  <c r="BT23" i="1"/>
  <c r="AE27" i="1"/>
  <c r="AE28" i="1"/>
  <c r="AE29" i="1" s="1"/>
  <c r="AD29" i="1"/>
  <c r="BU24" i="1" s="1"/>
  <c r="BU23" i="1"/>
  <c r="BD29" i="1"/>
  <c r="BW24" i="1" s="1"/>
  <c r="BW23" i="1"/>
  <c r="BQ28" i="1"/>
  <c r="BQ27" i="1"/>
  <c r="BX22" i="1" s="1"/>
  <c r="E18" i="1"/>
  <c r="E19" i="1" s="1"/>
  <c r="E21" i="1" s="1"/>
  <c r="E34" i="1" s="1"/>
  <c r="BT12" i="1"/>
  <c r="P16" i="1"/>
  <c r="AD19" i="1"/>
  <c r="AD21" i="1" s="1"/>
  <c r="AQ19" i="1"/>
  <c r="AQ21" i="1" s="1"/>
  <c r="BC12" i="1"/>
  <c r="BD13" i="1"/>
  <c r="AR13" i="1"/>
  <c r="BD18" i="1"/>
  <c r="BE20" i="1"/>
  <c r="BF20" i="1" s="1"/>
  <c r="BG20" i="1" s="1"/>
  <c r="BH20" i="1" s="1"/>
  <c r="BI20" i="1" s="1"/>
  <c r="BJ20" i="1" s="1"/>
  <c r="BK20" i="1" s="1"/>
  <c r="BL20" i="1" s="1"/>
  <c r="BM20" i="1" s="1"/>
  <c r="BN20" i="1" s="1"/>
  <c r="BO20" i="1" s="1"/>
  <c r="BP20" i="1" s="1"/>
  <c r="BE16" i="1"/>
  <c r="BF16" i="1" s="1"/>
  <c r="BG16" i="1" s="1"/>
  <c r="BH16" i="1" s="1"/>
  <c r="BI16" i="1" s="1"/>
  <c r="BJ16" i="1" s="1"/>
  <c r="BK16" i="1" s="1"/>
  <c r="BL16" i="1" s="1"/>
  <c r="BM16" i="1" s="1"/>
  <c r="BN16" i="1" s="1"/>
  <c r="BO16" i="1" s="1"/>
  <c r="BQ13" i="1"/>
  <c r="BE12" i="1"/>
  <c r="BF12" i="1" s="1"/>
  <c r="BG12" i="1" s="1"/>
  <c r="BH12" i="1" s="1"/>
  <c r="BI12" i="1" s="1"/>
  <c r="BJ12" i="1" s="1"/>
  <c r="BK12" i="1" s="1"/>
  <c r="BL12" i="1" s="1"/>
  <c r="BM12" i="1" s="1"/>
  <c r="BN12" i="1" s="1"/>
  <c r="BO12" i="1" s="1"/>
  <c r="BQ18" i="1"/>
  <c r="BE15" i="1"/>
  <c r="BF11" i="1"/>
  <c r="BE17" i="1"/>
  <c r="BC16" i="1"/>
  <c r="AS17" i="1"/>
  <c r="AR18" i="1"/>
  <c r="AS15" i="1"/>
  <c r="AT11" i="1"/>
  <c r="AS13" i="1"/>
  <c r="AE18" i="1"/>
  <c r="AE19" i="1" s="1"/>
  <c r="AE21" i="1" s="1"/>
  <c r="AE34" i="1" s="1"/>
  <c r="AF15" i="1"/>
  <c r="AG11" i="1"/>
  <c r="AF13" i="1"/>
  <c r="AF17" i="1"/>
  <c r="R18" i="1"/>
  <c r="R19" i="1" s="1"/>
  <c r="R21" i="1" s="1"/>
  <c r="R34" i="1" s="1"/>
  <c r="S15" i="1"/>
  <c r="AC16" i="1"/>
  <c r="AC22" i="1"/>
  <c r="S17" i="1"/>
  <c r="S13" i="1"/>
  <c r="T11" i="1"/>
  <c r="G15" i="1"/>
  <c r="F18" i="1"/>
  <c r="F28" i="1"/>
  <c r="F29" i="1" s="1"/>
  <c r="F27" i="1"/>
  <c r="G17" i="1"/>
  <c r="K11" i="1"/>
  <c r="F13" i="1"/>
  <c r="G12" i="1"/>
  <c r="AP12" i="1"/>
  <c r="AP20" i="1"/>
  <c r="AQ34" i="1" l="1"/>
  <c r="AQ58" i="1" s="1"/>
  <c r="D61" i="1" s="1"/>
  <c r="AQ23" i="1"/>
  <c r="AQ24" i="1" s="1"/>
  <c r="BV13" i="1" s="1"/>
  <c r="AD34" i="1"/>
  <c r="AD38" i="1" s="1"/>
  <c r="AD23" i="1"/>
  <c r="F23" i="1"/>
  <c r="AF28" i="1"/>
  <c r="AF29" i="1" s="1"/>
  <c r="AF27" i="1"/>
  <c r="AS27" i="1"/>
  <c r="AS28" i="1"/>
  <c r="AS29" i="1" s="1"/>
  <c r="S27" i="1"/>
  <c r="S28" i="1"/>
  <c r="S29" i="1" s="1"/>
  <c r="Q24" i="1"/>
  <c r="BT13" i="1" s="1"/>
  <c r="BE28" i="1"/>
  <c r="BE29" i="1" s="1"/>
  <c r="BE27" i="1"/>
  <c r="BQ29" i="1"/>
  <c r="BX24" i="1" s="1"/>
  <c r="BX23" i="1"/>
  <c r="Q58" i="1"/>
  <c r="BV12" i="1"/>
  <c r="BU12" i="1"/>
  <c r="R23" i="1"/>
  <c r="AE23" i="1"/>
  <c r="AR19" i="1"/>
  <c r="AR21" i="1" s="1"/>
  <c r="AR34" i="1" s="1"/>
  <c r="BQ19" i="1"/>
  <c r="BQ21" i="1" s="1"/>
  <c r="BD19" i="1"/>
  <c r="BD21" i="1" s="1"/>
  <c r="BP16" i="1"/>
  <c r="BF17" i="1"/>
  <c r="BP12" i="1"/>
  <c r="BE13" i="1"/>
  <c r="BG11" i="1"/>
  <c r="BF13" i="1"/>
  <c r="BF15" i="1"/>
  <c r="BE18" i="1"/>
  <c r="AS18" i="1"/>
  <c r="AS19" i="1" s="1"/>
  <c r="AS21" i="1" s="1"/>
  <c r="AS34" i="1" s="1"/>
  <c r="AT15" i="1"/>
  <c r="AT17" i="1"/>
  <c r="AU11" i="1"/>
  <c r="AT13" i="1"/>
  <c r="AG15" i="1"/>
  <c r="AF18" i="1"/>
  <c r="AF19" i="1" s="1"/>
  <c r="AF21" i="1" s="1"/>
  <c r="AF34" i="1" s="1"/>
  <c r="AH11" i="1"/>
  <c r="AG13" i="1"/>
  <c r="AG17" i="1"/>
  <c r="T15" i="1"/>
  <c r="S18" i="1"/>
  <c r="S19" i="1" s="1"/>
  <c r="S21" i="1" s="1"/>
  <c r="S34" i="1" s="1"/>
  <c r="T13" i="1"/>
  <c r="U11" i="1"/>
  <c r="T17" i="1"/>
  <c r="G28" i="1"/>
  <c r="G29" i="1" s="1"/>
  <c r="G27" i="1"/>
  <c r="H17" i="1"/>
  <c r="G13" i="1"/>
  <c r="H12" i="1"/>
  <c r="F19" i="1"/>
  <c r="F21" i="1" s="1"/>
  <c r="F34" i="1" s="1"/>
  <c r="G18" i="1"/>
  <c r="H15" i="1"/>
  <c r="L11" i="1"/>
  <c r="E24" i="1"/>
  <c r="BD23" i="1" l="1"/>
  <c r="AR23" i="1" s="1"/>
  <c r="BD34" i="1"/>
  <c r="BD38" i="1" s="1"/>
  <c r="BQ34" i="1"/>
  <c r="BQ23" i="1"/>
  <c r="AF23" i="1"/>
  <c r="S23" i="1"/>
  <c r="G23" i="1"/>
  <c r="D59" i="1"/>
  <c r="R24" i="1"/>
  <c r="AT27" i="1"/>
  <c r="AT28" i="1"/>
  <c r="AT29" i="1" s="1"/>
  <c r="AE24" i="1"/>
  <c r="AG28" i="1"/>
  <c r="AG29" i="1" s="1"/>
  <c r="AG27" i="1"/>
  <c r="T27" i="1"/>
  <c r="T28" i="1"/>
  <c r="T29" i="1" s="1"/>
  <c r="BF27" i="1"/>
  <c r="BF28" i="1"/>
  <c r="BF29" i="1" s="1"/>
  <c r="AD24" i="1"/>
  <c r="BU13" i="1" s="1"/>
  <c r="AQ38" i="1"/>
  <c r="AD58" i="1"/>
  <c r="BW12" i="1"/>
  <c r="BX12" i="1"/>
  <c r="BE23" i="1"/>
  <c r="BE19" i="1"/>
  <c r="BE21" i="1" s="1"/>
  <c r="BE34" i="1" s="1"/>
  <c r="BG17" i="1"/>
  <c r="BG15" i="1"/>
  <c r="BF18" i="1"/>
  <c r="BF19" i="1" s="1"/>
  <c r="BF21" i="1" s="1"/>
  <c r="BF34" i="1" s="1"/>
  <c r="BG13" i="1"/>
  <c r="BH11" i="1"/>
  <c r="AV11" i="1"/>
  <c r="AU13" i="1"/>
  <c r="AT18" i="1"/>
  <c r="AT19" i="1" s="1"/>
  <c r="AT21" i="1" s="1"/>
  <c r="AT34" i="1" s="1"/>
  <c r="AU15" i="1"/>
  <c r="AU17" i="1"/>
  <c r="AI11" i="1"/>
  <c r="AH13" i="1"/>
  <c r="AH17" i="1"/>
  <c r="AH15" i="1"/>
  <c r="AG18" i="1"/>
  <c r="AG19" i="1" s="1"/>
  <c r="AG21" i="1" s="1"/>
  <c r="AG34" i="1" s="1"/>
  <c r="V11" i="1"/>
  <c r="U13" i="1"/>
  <c r="U17" i="1"/>
  <c r="T18" i="1"/>
  <c r="T19" i="1" s="1"/>
  <c r="T21" i="1" s="1"/>
  <c r="T34" i="1" s="1"/>
  <c r="U15" i="1"/>
  <c r="G19" i="1"/>
  <c r="G21" i="1" s="1"/>
  <c r="G34" i="1" s="1"/>
  <c r="M11" i="1"/>
  <c r="I12" i="1"/>
  <c r="H13" i="1"/>
  <c r="F24" i="1"/>
  <c r="I15" i="1"/>
  <c r="H18" i="1"/>
  <c r="H28" i="1"/>
  <c r="H29" i="1" s="1"/>
  <c r="I17" i="1"/>
  <c r="H27" i="1"/>
  <c r="T23" i="1" l="1"/>
  <c r="AS23" i="1"/>
  <c r="AG23" i="1"/>
  <c r="AG24" i="1" s="1"/>
  <c r="BF23" i="1"/>
  <c r="BF24" i="1" s="1"/>
  <c r="S24" i="1"/>
  <c r="AF24" i="1"/>
  <c r="H23" i="1"/>
  <c r="G24" i="1"/>
  <c r="BT57" i="1"/>
  <c r="C59" i="1"/>
  <c r="BU57" i="1" s="1"/>
  <c r="D60" i="1"/>
  <c r="BT58" i="1" s="1"/>
  <c r="BQ38" i="1"/>
  <c r="BQ39" i="1"/>
  <c r="AH28" i="1"/>
  <c r="AH29" i="1" s="1"/>
  <c r="AH27" i="1"/>
  <c r="AU27" i="1"/>
  <c r="AU28" i="1"/>
  <c r="AU29" i="1" s="1"/>
  <c r="U27" i="1"/>
  <c r="U28" i="1"/>
  <c r="U29" i="1" s="1"/>
  <c r="BG27" i="1"/>
  <c r="BG28" i="1"/>
  <c r="BG29" i="1" s="1"/>
  <c r="BE24" i="1"/>
  <c r="BQ24" i="1"/>
  <c r="BX13" i="1" s="1"/>
  <c r="BD24" i="1"/>
  <c r="BW13" i="1" s="1"/>
  <c r="AR24" i="1"/>
  <c r="BQ58" i="1"/>
  <c r="D63" i="1" s="1"/>
  <c r="BD58" i="1"/>
  <c r="D62" i="1" s="1"/>
  <c r="BH15" i="1"/>
  <c r="BG18" i="1"/>
  <c r="BG19" i="1" s="1"/>
  <c r="BG21" i="1" s="1"/>
  <c r="BG34" i="1" s="1"/>
  <c r="BI11" i="1"/>
  <c r="BH13" i="1"/>
  <c r="BH17" i="1"/>
  <c r="AV17" i="1"/>
  <c r="AU18" i="1"/>
  <c r="AU19" i="1" s="1"/>
  <c r="AU21" i="1" s="1"/>
  <c r="AU34" i="1" s="1"/>
  <c r="AV15" i="1"/>
  <c r="AV13" i="1"/>
  <c r="AW11" i="1"/>
  <c r="AI17" i="1"/>
  <c r="AH18" i="1"/>
  <c r="AH19" i="1" s="1"/>
  <c r="AH21" i="1" s="1"/>
  <c r="AH34" i="1" s="1"/>
  <c r="AI15" i="1"/>
  <c r="AJ11" i="1"/>
  <c r="AI13" i="1"/>
  <c r="U18" i="1"/>
  <c r="U19" i="1" s="1"/>
  <c r="U21" i="1" s="1"/>
  <c r="U34" i="1" s="1"/>
  <c r="V15" i="1"/>
  <c r="W11" i="1"/>
  <c r="V13" i="1"/>
  <c r="V17" i="1"/>
  <c r="J17" i="1"/>
  <c r="I28" i="1"/>
  <c r="I29" i="1" s="1"/>
  <c r="I27" i="1"/>
  <c r="H19" i="1"/>
  <c r="H21" i="1" s="1"/>
  <c r="H34" i="1" s="1"/>
  <c r="J15" i="1"/>
  <c r="I18" i="1"/>
  <c r="J12" i="1"/>
  <c r="I13" i="1"/>
  <c r="N11" i="1"/>
  <c r="C39" i="1" l="1"/>
  <c r="BV34" i="1" s="1"/>
  <c r="C62" i="1"/>
  <c r="BU60" i="1" s="1"/>
  <c r="AH23" i="1"/>
  <c r="AT23" i="1"/>
  <c r="U23" i="1"/>
  <c r="AH24" i="1"/>
  <c r="AS24" i="1"/>
  <c r="BG23" i="1"/>
  <c r="T24" i="1"/>
  <c r="I23" i="1"/>
  <c r="BT59" i="1"/>
  <c r="C60" i="1"/>
  <c r="BU58" i="1" s="1"/>
  <c r="C61" i="1"/>
  <c r="BU59" i="1" s="1"/>
  <c r="BT61" i="1"/>
  <c r="BT60" i="1"/>
  <c r="C63" i="1"/>
  <c r="BU61" i="1" s="1"/>
  <c r="AI27" i="1"/>
  <c r="AI28" i="1"/>
  <c r="AI29" i="1" s="1"/>
  <c r="C41" i="1"/>
  <c r="V27" i="1"/>
  <c r="V28" i="1"/>
  <c r="V29" i="1" s="1"/>
  <c r="AV28" i="1"/>
  <c r="AV29" i="1" s="1"/>
  <c r="AV27" i="1"/>
  <c r="BH28" i="1"/>
  <c r="BH29" i="1" s="1"/>
  <c r="BH27" i="1"/>
  <c r="BI17" i="1"/>
  <c r="BJ11" i="1"/>
  <c r="BI13" i="1"/>
  <c r="BI15" i="1"/>
  <c r="BH18" i="1"/>
  <c r="BH19" i="1" s="1"/>
  <c r="BH21" i="1" s="1"/>
  <c r="BH34" i="1" s="1"/>
  <c r="AX11" i="1"/>
  <c r="AW13" i="1"/>
  <c r="AW15" i="1"/>
  <c r="AV18" i="1"/>
  <c r="AV19" i="1" s="1"/>
  <c r="AV21" i="1" s="1"/>
  <c r="AV34" i="1" s="1"/>
  <c r="AW17" i="1"/>
  <c r="AJ13" i="1"/>
  <c r="AK11" i="1"/>
  <c r="AI18" i="1"/>
  <c r="AI19" i="1" s="1"/>
  <c r="AI21" i="1" s="1"/>
  <c r="AI34" i="1" s="1"/>
  <c r="AJ15" i="1"/>
  <c r="AJ17" i="1"/>
  <c r="W17" i="1"/>
  <c r="W13" i="1"/>
  <c r="X11" i="1"/>
  <c r="W15" i="1"/>
  <c r="V18" i="1"/>
  <c r="V19" i="1" s="1"/>
  <c r="V21" i="1" s="1"/>
  <c r="V34" i="1" s="1"/>
  <c r="K15" i="1"/>
  <c r="J18" i="1"/>
  <c r="H24" i="1"/>
  <c r="O11" i="1"/>
  <c r="I19" i="1"/>
  <c r="I21" i="1" s="1"/>
  <c r="I34" i="1" s="1"/>
  <c r="K12" i="1"/>
  <c r="J13" i="1"/>
  <c r="J28" i="1"/>
  <c r="J29" i="1" s="1"/>
  <c r="J27" i="1"/>
  <c r="K17" i="1"/>
  <c r="BT32" i="1" l="1"/>
  <c r="V23" i="1"/>
  <c r="V24" i="1" s="1"/>
  <c r="U24" i="1"/>
  <c r="BH23" i="1"/>
  <c r="BH24" i="1" s="1"/>
  <c r="AU23" i="1"/>
  <c r="AT24" i="1"/>
  <c r="AI23" i="1"/>
  <c r="BG24" i="1"/>
  <c r="J23" i="1"/>
  <c r="AW27" i="1"/>
  <c r="AW28" i="1"/>
  <c r="AW29" i="1" s="1"/>
  <c r="W28" i="1"/>
  <c r="W29" i="1" s="1"/>
  <c r="W27" i="1"/>
  <c r="AJ28" i="1"/>
  <c r="AJ29" i="1" s="1"/>
  <c r="AJ27" i="1"/>
  <c r="BI28" i="1"/>
  <c r="BI29" i="1" s="1"/>
  <c r="BI27" i="1"/>
  <c r="BI18" i="1"/>
  <c r="BI19" i="1" s="1"/>
  <c r="BI21" i="1" s="1"/>
  <c r="BI34" i="1" s="1"/>
  <c r="BJ15" i="1"/>
  <c r="BJ13" i="1"/>
  <c r="BK11" i="1"/>
  <c r="BJ17" i="1"/>
  <c r="AX17" i="1"/>
  <c r="AW18" i="1"/>
  <c r="AW19" i="1" s="1"/>
  <c r="AW21" i="1" s="1"/>
  <c r="AW34" i="1" s="1"/>
  <c r="AX15" i="1"/>
  <c r="AX13" i="1"/>
  <c r="AY11" i="1"/>
  <c r="AJ18" i="1"/>
  <c r="AJ19" i="1" s="1"/>
  <c r="AJ21" i="1" s="1"/>
  <c r="AJ34" i="1" s="1"/>
  <c r="AK15" i="1"/>
  <c r="AK17" i="1"/>
  <c r="AK13" i="1"/>
  <c r="AL11" i="1"/>
  <c r="X13" i="1"/>
  <c r="Y11" i="1"/>
  <c r="X17" i="1"/>
  <c r="X15" i="1"/>
  <c r="W18" i="1"/>
  <c r="W19" i="1" s="1"/>
  <c r="W21" i="1" s="1"/>
  <c r="W34" i="1" s="1"/>
  <c r="L12" i="1"/>
  <c r="K13" i="1"/>
  <c r="K28" i="1"/>
  <c r="K29" i="1" s="1"/>
  <c r="K27" i="1"/>
  <c r="L17" i="1"/>
  <c r="I24" i="1"/>
  <c r="P11" i="1"/>
  <c r="J19" i="1"/>
  <c r="J21" i="1" s="1"/>
  <c r="J34" i="1" s="1"/>
  <c r="L15" i="1"/>
  <c r="K18" i="1"/>
  <c r="AJ23" i="1" l="1"/>
  <c r="AJ24" i="1" s="1"/>
  <c r="AI24" i="1"/>
  <c r="BI23" i="1"/>
  <c r="BI24" i="1"/>
  <c r="AV23" i="1"/>
  <c r="AU24" i="1"/>
  <c r="W23" i="1"/>
  <c r="W24" i="1" s="1"/>
  <c r="K23" i="1"/>
  <c r="AX28" i="1"/>
  <c r="AX29" i="1" s="1"/>
  <c r="AX27" i="1"/>
  <c r="AK27" i="1"/>
  <c r="AK28" i="1"/>
  <c r="AK29" i="1" s="1"/>
  <c r="X28" i="1"/>
  <c r="X29" i="1" s="1"/>
  <c r="X27" i="1"/>
  <c r="BJ28" i="1"/>
  <c r="BJ29" i="1" s="1"/>
  <c r="BJ27" i="1"/>
  <c r="BK17" i="1"/>
  <c r="BK13" i="1"/>
  <c r="BL11" i="1"/>
  <c r="BK15" i="1"/>
  <c r="BJ18" i="1"/>
  <c r="BJ19" i="1" s="1"/>
  <c r="BJ21" i="1" s="1"/>
  <c r="BJ34" i="1" s="1"/>
  <c r="AZ11" i="1"/>
  <c r="AY13" i="1"/>
  <c r="AX18" i="1"/>
  <c r="AX19" i="1" s="1"/>
  <c r="AX21" i="1" s="1"/>
  <c r="AX34" i="1" s="1"/>
  <c r="AY15" i="1"/>
  <c r="AY17" i="1"/>
  <c r="AK18" i="1"/>
  <c r="AK19" i="1" s="1"/>
  <c r="AK21" i="1" s="1"/>
  <c r="AK34" i="1" s="1"/>
  <c r="AL15" i="1"/>
  <c r="AL17" i="1"/>
  <c r="AM11" i="1"/>
  <c r="AL13" i="1"/>
  <c r="Y15" i="1"/>
  <c r="X18" i="1"/>
  <c r="X19" i="1" s="1"/>
  <c r="X21" i="1" s="1"/>
  <c r="X34" i="1" s="1"/>
  <c r="Z11" i="1"/>
  <c r="Y13" i="1"/>
  <c r="Y17" i="1"/>
  <c r="M17" i="1"/>
  <c r="L28" i="1"/>
  <c r="L29" i="1" s="1"/>
  <c r="L27" i="1"/>
  <c r="M15" i="1"/>
  <c r="L18" i="1"/>
  <c r="J24" i="1"/>
  <c r="K19" i="1"/>
  <c r="K21" i="1" s="1"/>
  <c r="K34" i="1" s="1"/>
  <c r="M12" i="1"/>
  <c r="L13" i="1"/>
  <c r="BJ23" i="1" l="1"/>
  <c r="BJ24" i="1" s="1"/>
  <c r="X23" i="1"/>
  <c r="X24" i="1" s="1"/>
  <c r="AW23" i="1"/>
  <c r="AV24" i="1"/>
  <c r="AK23" i="1"/>
  <c r="AK24" i="1" s="1"/>
  <c r="L23" i="1"/>
  <c r="Y28" i="1"/>
  <c r="Y29" i="1" s="1"/>
  <c r="Y27" i="1"/>
  <c r="AL27" i="1"/>
  <c r="AL28" i="1"/>
  <c r="AL29" i="1" s="1"/>
  <c r="AY27" i="1"/>
  <c r="AY28" i="1"/>
  <c r="AY29" i="1" s="1"/>
  <c r="BK27" i="1"/>
  <c r="BK28" i="1"/>
  <c r="BK29" i="1" s="1"/>
  <c r="BL17" i="1"/>
  <c r="BK18" i="1"/>
  <c r="BK19" i="1" s="1"/>
  <c r="BK21" i="1" s="1"/>
  <c r="BK34" i="1" s="1"/>
  <c r="BL15" i="1"/>
  <c r="BM11" i="1"/>
  <c r="BL13" i="1"/>
  <c r="AZ17" i="1"/>
  <c r="AZ15" i="1"/>
  <c r="AY18" i="1"/>
  <c r="AY19" i="1" s="1"/>
  <c r="AY21" i="1" s="1"/>
  <c r="AY34" i="1" s="1"/>
  <c r="BA11" i="1"/>
  <c r="AZ13" i="1"/>
  <c r="AN11" i="1"/>
  <c r="AM13" i="1"/>
  <c r="AM17" i="1"/>
  <c r="AL18" i="1"/>
  <c r="AL19" i="1" s="1"/>
  <c r="AL21" i="1" s="1"/>
  <c r="AL34" i="1" s="1"/>
  <c r="AM15" i="1"/>
  <c r="Z17" i="1"/>
  <c r="AA11" i="1"/>
  <c r="Z13" i="1"/>
  <c r="Y18" i="1"/>
  <c r="Y19" i="1" s="1"/>
  <c r="Y21" i="1" s="1"/>
  <c r="Y34" i="1" s="1"/>
  <c r="Z15" i="1"/>
  <c r="K24" i="1"/>
  <c r="N15" i="1"/>
  <c r="M18" i="1"/>
  <c r="L19" i="1"/>
  <c r="L21" i="1" s="1"/>
  <c r="L34" i="1" s="1"/>
  <c r="N12" i="1"/>
  <c r="M13" i="1"/>
  <c r="M27" i="1"/>
  <c r="N17" i="1"/>
  <c r="M28" i="1"/>
  <c r="M29" i="1" s="1"/>
  <c r="AL23" i="1" l="1"/>
  <c r="AL24" i="1" s="1"/>
  <c r="BK23" i="1"/>
  <c r="BK24" i="1" s="1"/>
  <c r="Y23" i="1"/>
  <c r="Y24" i="1" s="1"/>
  <c r="AX23" i="1"/>
  <c r="AW24" i="1"/>
  <c r="M23" i="1"/>
  <c r="AZ27" i="1"/>
  <c r="AZ28" i="1"/>
  <c r="AZ29" i="1" s="1"/>
  <c r="AM27" i="1"/>
  <c r="AM28" i="1"/>
  <c r="AM29" i="1" s="1"/>
  <c r="Z27" i="1"/>
  <c r="Z28" i="1"/>
  <c r="Z29" i="1" s="1"/>
  <c r="BL27" i="1"/>
  <c r="BL28" i="1"/>
  <c r="BL29" i="1" s="1"/>
  <c r="M19" i="1"/>
  <c r="M21" i="1" s="1"/>
  <c r="M34" i="1" s="1"/>
  <c r="BM13" i="1"/>
  <c r="BN11" i="1"/>
  <c r="BM15" i="1"/>
  <c r="BL18" i="1"/>
  <c r="BL19" i="1" s="1"/>
  <c r="BL21" i="1" s="1"/>
  <c r="BL34" i="1" s="1"/>
  <c r="BM17" i="1"/>
  <c r="BA13" i="1"/>
  <c r="BB11" i="1"/>
  <c r="BA15" i="1"/>
  <c r="AZ18" i="1"/>
  <c r="AZ19" i="1" s="1"/>
  <c r="AZ21" i="1" s="1"/>
  <c r="AZ34" i="1" s="1"/>
  <c r="BA17" i="1"/>
  <c r="AN15" i="1"/>
  <c r="AM18" i="1"/>
  <c r="AM19" i="1" s="1"/>
  <c r="AM21" i="1" s="1"/>
  <c r="AM34" i="1" s="1"/>
  <c r="AN13" i="1"/>
  <c r="AO11" i="1"/>
  <c r="AN17" i="1"/>
  <c r="AA13" i="1"/>
  <c r="AB11" i="1"/>
  <c r="AA17" i="1"/>
  <c r="Z18" i="1"/>
  <c r="Z19" i="1" s="1"/>
  <c r="Z21" i="1" s="1"/>
  <c r="Z34" i="1" s="1"/>
  <c r="AA15" i="1"/>
  <c r="O12" i="1"/>
  <c r="N13" i="1"/>
  <c r="L24" i="1"/>
  <c r="O15" i="1"/>
  <c r="N18" i="1"/>
  <c r="N28" i="1"/>
  <c r="N29" i="1" s="1"/>
  <c r="N27" i="1"/>
  <c r="O17" i="1"/>
  <c r="BL23" i="1" l="1"/>
  <c r="BL24" i="1" s="1"/>
  <c r="AM23" i="1"/>
  <c r="AM24" i="1" s="1"/>
  <c r="AY23" i="1"/>
  <c r="AX24" i="1"/>
  <c r="Z23" i="1"/>
  <c r="Z24" i="1" s="1"/>
  <c r="M24" i="1"/>
  <c r="N23" i="1"/>
  <c r="AN28" i="1"/>
  <c r="AN29" i="1" s="1"/>
  <c r="AN27" i="1"/>
  <c r="AA27" i="1"/>
  <c r="AA28" i="1"/>
  <c r="AA29" i="1" s="1"/>
  <c r="BA27" i="1"/>
  <c r="BA28" i="1"/>
  <c r="BA29" i="1" s="1"/>
  <c r="BM27" i="1"/>
  <c r="BM28" i="1"/>
  <c r="BM29" i="1" s="1"/>
  <c r="BN17" i="1"/>
  <c r="BM18" i="1"/>
  <c r="BM19" i="1" s="1"/>
  <c r="BM21" i="1" s="1"/>
  <c r="BM34" i="1" s="1"/>
  <c r="BN15" i="1"/>
  <c r="BO11" i="1"/>
  <c r="BN13" i="1"/>
  <c r="BB17" i="1"/>
  <c r="BB13" i="1"/>
  <c r="BC11" i="1"/>
  <c r="BC13" i="1" s="1"/>
  <c r="BA18" i="1"/>
  <c r="BA19" i="1" s="1"/>
  <c r="BA21" i="1" s="1"/>
  <c r="BA34" i="1" s="1"/>
  <c r="BB15" i="1"/>
  <c r="AO13" i="1"/>
  <c r="AP11" i="1"/>
  <c r="AP13" i="1" s="1"/>
  <c r="AO17" i="1"/>
  <c r="AO15" i="1"/>
  <c r="AN18" i="1"/>
  <c r="AN19" i="1" s="1"/>
  <c r="AN21" i="1" s="1"/>
  <c r="AN34" i="1" s="1"/>
  <c r="AB13" i="1"/>
  <c r="AC11" i="1"/>
  <c r="AC13" i="1" s="1"/>
  <c r="AA18" i="1"/>
  <c r="AA19" i="1" s="1"/>
  <c r="AA21" i="1" s="1"/>
  <c r="AA34" i="1" s="1"/>
  <c r="AB15" i="1"/>
  <c r="AB17" i="1"/>
  <c r="AC17" i="1" s="1"/>
  <c r="O18" i="1"/>
  <c r="P15" i="1"/>
  <c r="O28" i="1"/>
  <c r="O29" i="1" s="1"/>
  <c r="O27" i="1"/>
  <c r="P17" i="1"/>
  <c r="O13" i="1"/>
  <c r="P12" i="1"/>
  <c r="P13" i="1" s="1"/>
  <c r="N19" i="1"/>
  <c r="N21" i="1" s="1"/>
  <c r="N24" i="1" l="1"/>
  <c r="N34" i="1"/>
  <c r="AN23" i="1"/>
  <c r="AZ23" i="1"/>
  <c r="AY24" i="1"/>
  <c r="AN24" i="1"/>
  <c r="AA23" i="1"/>
  <c r="AA24" i="1"/>
  <c r="BM23" i="1"/>
  <c r="BM24" i="1" s="1"/>
  <c r="O23" i="1"/>
  <c r="AC27" i="1"/>
  <c r="AC28" i="1"/>
  <c r="AC29" i="1" s="1"/>
  <c r="BB27" i="1"/>
  <c r="BB28" i="1"/>
  <c r="BB29" i="1" s="1"/>
  <c r="AO28" i="1"/>
  <c r="AO29" i="1" s="1"/>
  <c r="AO27" i="1"/>
  <c r="AB27" i="1"/>
  <c r="AB28" i="1"/>
  <c r="AB29" i="1" s="1"/>
  <c r="BN27" i="1"/>
  <c r="BN28" i="1"/>
  <c r="BN29" i="1" s="1"/>
  <c r="BO13" i="1"/>
  <c r="BP11" i="1"/>
  <c r="BP13" i="1" s="1"/>
  <c r="BN18" i="1"/>
  <c r="BN19" i="1" s="1"/>
  <c r="BN21" i="1" s="1"/>
  <c r="BN34" i="1" s="1"/>
  <c r="BO15" i="1"/>
  <c r="BO17" i="1"/>
  <c r="BB18" i="1"/>
  <c r="BB19" i="1" s="1"/>
  <c r="BB21" i="1" s="1"/>
  <c r="BB34" i="1" s="1"/>
  <c r="BC15" i="1"/>
  <c r="BC17" i="1"/>
  <c r="AP17" i="1"/>
  <c r="AO18" i="1"/>
  <c r="AO19" i="1" s="1"/>
  <c r="AO21" i="1" s="1"/>
  <c r="AO34" i="1" s="1"/>
  <c r="AP15" i="1"/>
  <c r="AC15" i="1"/>
  <c r="AC18" i="1" s="1"/>
  <c r="AC19" i="1" s="1"/>
  <c r="AC21" i="1" s="1"/>
  <c r="AC34" i="1" s="1"/>
  <c r="AB18" i="1"/>
  <c r="AB19" i="1" s="1"/>
  <c r="AB21" i="1" s="1"/>
  <c r="AB34" i="1" s="1"/>
  <c r="O19" i="1"/>
  <c r="O21" i="1" s="1"/>
  <c r="O34" i="1" s="1"/>
  <c r="P27" i="1"/>
  <c r="P28" i="1"/>
  <c r="P29" i="1" s="1"/>
  <c r="P18" i="1"/>
  <c r="P19" i="1" s="1"/>
  <c r="P21" i="1" s="1"/>
  <c r="P34" i="1" s="1"/>
  <c r="BN23" i="1" l="1"/>
  <c r="BA23" i="1"/>
  <c r="AZ24" i="1"/>
  <c r="AB23" i="1"/>
  <c r="AB24" i="1" s="1"/>
  <c r="AO23" i="1"/>
  <c r="O24" i="1"/>
  <c r="P23" i="1"/>
  <c r="P24" i="1" s="1"/>
  <c r="BC27" i="1"/>
  <c r="BC28" i="1"/>
  <c r="BC29" i="1" s="1"/>
  <c r="AP28" i="1"/>
  <c r="AP29" i="1" s="1"/>
  <c r="AP27" i="1"/>
  <c r="BO27" i="1"/>
  <c r="BO28" i="1"/>
  <c r="BO29" i="1" s="1"/>
  <c r="AP18" i="1"/>
  <c r="AP19" i="1" s="1"/>
  <c r="AP21" i="1" s="1"/>
  <c r="AP34" i="1" s="1"/>
  <c r="BO18" i="1"/>
  <c r="BO19" i="1" s="1"/>
  <c r="BO21" i="1" s="1"/>
  <c r="BO34" i="1" s="1"/>
  <c r="BP15" i="1"/>
  <c r="BP17" i="1"/>
  <c r="BC18" i="1"/>
  <c r="BC19" i="1" s="1"/>
  <c r="BC21" i="1" s="1"/>
  <c r="BC34" i="1" s="1"/>
  <c r="AP23" i="1" l="1"/>
  <c r="AP24" i="1" s="1"/>
  <c r="BB23" i="1"/>
  <c r="BA24" i="1"/>
  <c r="AC23" i="1"/>
  <c r="AO24" i="1"/>
  <c r="BO23" i="1"/>
  <c r="BO24" i="1" s="1"/>
  <c r="BN24" i="1"/>
  <c r="BP28" i="1"/>
  <c r="BP29" i="1" s="1"/>
  <c r="BP27" i="1"/>
  <c r="BP18" i="1"/>
  <c r="BP19" i="1" s="1"/>
  <c r="BP21" i="1" s="1"/>
  <c r="BP34" i="1" s="1"/>
  <c r="AC24" i="1" l="1"/>
  <c r="BB24" i="1"/>
  <c r="BC23" i="1"/>
  <c r="BP23" i="1"/>
  <c r="BC24" i="1" l="1"/>
  <c r="BP24" i="1"/>
</calcChain>
</file>

<file path=xl/sharedStrings.xml><?xml version="1.0" encoding="utf-8"?>
<sst xmlns="http://schemas.openxmlformats.org/spreadsheetml/2006/main" count="162" uniqueCount="103">
  <si>
    <t>COGS</t>
  </si>
  <si>
    <t>G&amp;A</t>
  </si>
  <si>
    <t>R&amp;D</t>
  </si>
  <si>
    <t>EBITDA</t>
  </si>
  <si>
    <t>EBIT</t>
  </si>
  <si>
    <t>S&amp;M</t>
  </si>
  <si>
    <t>Total OpEx</t>
  </si>
  <si>
    <t>Gross Margin</t>
  </si>
  <si>
    <t>Operating Expense</t>
  </si>
  <si>
    <t>Dep'n &amp; Amort.</t>
  </si>
  <si>
    <t>Year 1</t>
  </si>
  <si>
    <t>Year 2</t>
  </si>
  <si>
    <t>Year 3</t>
  </si>
  <si>
    <t>Year 4</t>
  </si>
  <si>
    <t>Year 5</t>
  </si>
  <si>
    <t>Interest</t>
  </si>
  <si>
    <t>Net Income</t>
  </si>
  <si>
    <t>Taxes @ 40%</t>
  </si>
  <si>
    <t>YEAR 1</t>
  </si>
  <si>
    <t>Revenue</t>
  </si>
  <si>
    <t>Free Cash Flow</t>
  </si>
  <si>
    <t>Terminal Growth</t>
  </si>
  <si>
    <t>PV Free Cash Flow</t>
  </si>
  <si>
    <t>Sum PV FCF</t>
  </si>
  <si>
    <t>(Capital Expenses)</t>
  </si>
  <si>
    <t>Raise</t>
  </si>
  <si>
    <t>(Year 1 Debt)</t>
  </si>
  <si>
    <t>WACC</t>
  </si>
  <si>
    <t xml:space="preserve">Total </t>
  </si>
  <si>
    <t>IRR</t>
  </si>
  <si>
    <t>YEAR 2</t>
  </si>
  <si>
    <t>YEAR 3</t>
  </si>
  <si>
    <t>YEAR 4</t>
  </si>
  <si>
    <t>YEAR 5</t>
  </si>
  <si>
    <r>
      <t xml:space="preserve">Cash </t>
    </r>
    <r>
      <rPr>
        <sz val="11"/>
        <color rgb="FFFF0000"/>
        <rFont val="Calibri"/>
        <family val="2"/>
        <scheme val="minor"/>
      </rPr>
      <t>(Out)</t>
    </r>
    <r>
      <rPr>
        <sz val="11"/>
        <color theme="1"/>
        <rFont val="Calibri"/>
        <family val="2"/>
        <scheme val="minor"/>
      </rPr>
      <t>/In</t>
    </r>
  </si>
  <si>
    <r>
      <rPr>
        <sz val="10"/>
        <color rgb="FFFF0000"/>
        <rFont val="Calibri"/>
        <family val="2"/>
        <scheme val="minor"/>
      </rPr>
      <t>©</t>
    </r>
    <r>
      <rPr>
        <b/>
        <sz val="12"/>
        <color rgb="FFFF0000"/>
        <rFont val="Calibri"/>
        <family val="2"/>
        <scheme val="minor"/>
      </rPr>
      <t>ExcelModels.com</t>
    </r>
  </si>
  <si>
    <t>scott@ExcelModels.com</t>
  </si>
  <si>
    <t>Mo. 1</t>
  </si>
  <si>
    <t>Mo. 2</t>
  </si>
  <si>
    <t>Mo. 3</t>
  </si>
  <si>
    <t>Mo. 4</t>
  </si>
  <si>
    <t>Mo. 5</t>
  </si>
  <si>
    <t>Mo. 6</t>
  </si>
  <si>
    <t>Mo. 7</t>
  </si>
  <si>
    <t>Mo. 8</t>
  </si>
  <si>
    <t>Mo. 9</t>
  </si>
  <si>
    <t>Mo. 10</t>
  </si>
  <si>
    <t>Mo. 11</t>
  </si>
  <si>
    <t>Mo. 12</t>
  </si>
  <si>
    <t>DCF Valuation</t>
  </si>
  <si>
    <t>∆ Net Wkg Cap.</t>
  </si>
  <si>
    <t>Post-Money Valu'n</t>
  </si>
  <si>
    <t>Pre-Money Equity Val.</t>
  </si>
  <si>
    <t>Mgmt Shares</t>
  </si>
  <si>
    <t>Mgmt Options</t>
  </si>
  <si>
    <t>Add'l Shares</t>
  </si>
  <si>
    <t>Series A Pref'd</t>
  </si>
  <si>
    <t>Pre-Money Valu'n</t>
  </si>
  <si>
    <t>F/D Common Shs</t>
  </si>
  <si>
    <t>YEAR 0</t>
  </si>
  <si>
    <t>Pre-Money $/Share</t>
  </si>
  <si>
    <t>Post-Money $/Share</t>
  </si>
  <si>
    <t>Projects/Client</t>
  </si>
  <si>
    <t>Group columns to input data &amp; view graphs</t>
  </si>
  <si>
    <t>% Rev:</t>
  </si>
  <si>
    <r>
      <t xml:space="preserve">P&amp;L </t>
    </r>
    <r>
      <rPr>
        <u/>
        <sz val="11"/>
        <color rgb="FF0000FF"/>
        <rFont val="Calibri"/>
        <family val="2"/>
        <scheme val="minor"/>
      </rPr>
      <t xml:space="preserve"> </t>
    </r>
    <r>
      <rPr>
        <u/>
        <sz val="10"/>
        <color rgb="FF0000FF"/>
        <rFont val="Calibri"/>
        <family val="2"/>
        <scheme val="minor"/>
      </rPr>
      <t>($k, except %)</t>
    </r>
  </si>
  <si>
    <t>∑FCF / Post-$</t>
  </si>
  <si>
    <t>Pre-$</t>
  </si>
  <si>
    <t>Capitalization</t>
  </si>
  <si>
    <t># Shares</t>
  </si>
  <si>
    <t>1-year</t>
  </si>
  <si>
    <t>2-year</t>
  </si>
  <si>
    <t>3-year</t>
  </si>
  <si>
    <t>4-year</t>
  </si>
  <si>
    <t>5-year</t>
  </si>
  <si>
    <t>Customer Acquisition Cost</t>
  </si>
  <si>
    <t>Project Acquisition Cost</t>
  </si>
  <si>
    <t>Debt</t>
  </si>
  <si>
    <t>Rate:</t>
  </si>
  <si>
    <t>#Sh (k)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</si>
  <si>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</si>
  <si>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</si>
  <si>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</si>
  <si>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</si>
  <si>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</si>
  <si>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</si>
  <si>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</si>
  <si>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</si>
  <si>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# Clients</t>
  </si>
  <si>
    <t># Projects</t>
  </si>
  <si>
    <t>Operations</t>
  </si>
  <si>
    <r>
      <t>Sales &amp; Marketing</t>
    </r>
    <r>
      <rPr>
        <b/>
        <sz val="11"/>
        <color rgb="FF0000FF"/>
        <rFont val="Calibri"/>
        <family val="2"/>
        <scheme val="minor"/>
      </rPr>
      <t xml:space="preserve">   </t>
    </r>
    <r>
      <rPr>
        <sz val="11"/>
        <color rgb="FF0000FF"/>
        <rFont val="Calibri"/>
        <family val="2"/>
        <scheme val="minor"/>
      </rPr>
      <t xml:space="preserve"> </t>
    </r>
    <r>
      <rPr>
        <sz val="10"/>
        <color rgb="FF0000FF"/>
        <rFont val="Calibri"/>
        <family val="2"/>
        <scheme val="minor"/>
      </rPr>
      <t>($)</t>
    </r>
  </si>
  <si>
    <t>Avg Proj Val $k</t>
  </si>
  <si>
    <t>Earnings</t>
  </si>
  <si>
    <t>Proj. GM Contrib.</t>
  </si>
  <si>
    <t>Proj GM Contrib.</t>
  </si>
  <si>
    <t>Proj. Acq. Cost</t>
  </si>
  <si>
    <t>Cust. Acq. Cost</t>
  </si>
  <si>
    <t>Debt / Raise</t>
  </si>
  <si>
    <t>Post-$ Val'n ($k)</t>
  </si>
  <si>
    <t>Avg Proj Value ($k)</t>
  </si>
  <si>
    <t>Cumulative FCF ($k)</t>
  </si>
  <si>
    <t>IRR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</si>
</sst>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164" formatCode="#,##0.0_);[Red]\(#,##0.0\)"/>
    <numFmt numFmtId="165" formatCode="0.0%"/>
    <numFmt numFmtId="166" formatCode="&quot;$&quot;#,##0.0000_);[Red]\(&quot;$&quot;#,##0.0000\)"/>
    <numFmt numFmtId="167" formatCode="&quot;$&quot;#,##0.0_);[Red]\(&quot;$&quot;#,##0.0\)"/>
    <numFmt numFmtId="168" formatCode="0%;[Red]\-0%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1"/>
      <color rgb="FF0000FF"/>
      <name val="Calibri"/>
      <family val="2"/>
      <scheme val="minor"/>
    </font>
    <font>
      <sz val="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0"/>
      <color rgb="FF0000FF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color rgb="FF0000FF"/>
      <name val="Calibri"/>
      <family val="2"/>
      <scheme val="minor"/>
    </font>
    <font>
      <u/>
      <sz val="9"/>
      <color theme="0" tint="-0.499984740745262"/>
      <name val="Calibri"/>
      <family val="2"/>
      <scheme val="minor"/>
    </font>
    <font>
      <b/>
      <sz val="2"/>
      <color theme="1"/>
      <name val="Calibri"/>
      <family val="2"/>
      <scheme val="minor"/>
    </font>
    <font>
      <b/>
      <sz val="2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0"/>
        <bgColor indexed="64"/>
      </patternFill>
    </fill>
    <fill>
      <patternFill patternType="lightTrellis">
        <bgColor theme="0" tint="-4.9989318521683403E-2"/>
      </patternFill>
    </fill>
    <fill>
      <patternFill patternType="solid">
        <fgColor theme="3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/>
      <top/>
      <bottom/>
      <diagonal style="mediumDashed">
        <color rgb="FFFF0000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rgb="FFFF0000"/>
      </left>
      <right/>
      <top style="mediumDashed">
        <color rgb="FFFF0000"/>
      </top>
      <bottom style="mediumDashed">
        <color rgb="FFFF0000"/>
      </bottom>
      <diagonal/>
    </border>
    <border>
      <left/>
      <right/>
      <top style="mediumDashed">
        <color rgb="FFFF0000"/>
      </top>
      <bottom style="mediumDashed">
        <color rgb="FFFF0000"/>
      </bottom>
      <diagonal/>
    </border>
    <border>
      <left/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9" fontId="5" fillId="0" borderId="0" applyFont="0" applyFill="0" applyBorder="0" applyAlignment="0" applyProtection="0"/>
  </cellStyleXfs>
  <cellXfs count="260">
    <xf numFmtId="0" fontId="0" fillId="0" borderId="0" xfId="0"/>
    <xf numFmtId="0" fontId="4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Continuous" vertical="center"/>
    </xf>
    <xf numFmtId="0" fontId="0" fillId="0" borderId="0" xfId="0" applyAlignment="1"/>
    <xf numFmtId="0" fontId="4" fillId="0" borderId="0" xfId="0" applyFont="1" applyAlignment="1"/>
    <xf numFmtId="38" fontId="2" fillId="2" borderId="1" xfId="2" applyNumberFormat="1" applyAlignment="1">
      <alignment horizontal="center"/>
    </xf>
    <xf numFmtId="0" fontId="4" fillId="0" borderId="0" xfId="0" applyFont="1" applyBorder="1"/>
    <xf numFmtId="0" fontId="11" fillId="0" borderId="0" xfId="0" applyFont="1" applyAlignment="1">
      <alignment horizontal="center"/>
    </xf>
    <xf numFmtId="0" fontId="0" fillId="0" borderId="0" xfId="0" applyFont="1" applyAlignment="1">
      <alignment horizontal="left" indent="2"/>
    </xf>
    <xf numFmtId="0" fontId="12" fillId="0" borderId="0" xfId="0" applyFont="1"/>
    <xf numFmtId="0" fontId="6" fillId="0" borderId="0" xfId="0" applyFont="1" applyAlignment="1">
      <alignment horizontal="left" indent="2"/>
    </xf>
    <xf numFmtId="0" fontId="13" fillId="0" borderId="0" xfId="0" applyFont="1" applyAlignment="1">
      <alignment horizontal="center"/>
    </xf>
    <xf numFmtId="38" fontId="14" fillId="3" borderId="3" xfId="0" applyNumberFormat="1" applyFont="1" applyFill="1" applyBorder="1" applyAlignment="1" applyProtection="1">
      <alignment horizontal="centerContinuous"/>
    </xf>
    <xf numFmtId="38" fontId="17" fillId="3" borderId="4" xfId="0" applyNumberFormat="1" applyFont="1" applyFill="1" applyBorder="1" applyAlignment="1" applyProtection="1">
      <alignment horizontal="centerContinuous"/>
    </xf>
    <xf numFmtId="38" fontId="18" fillId="3" borderId="5" xfId="0" applyNumberFormat="1" applyFont="1" applyFill="1" applyBorder="1" applyAlignment="1" applyProtection="1">
      <alignment horizontal="centerContinuous" vertical="top"/>
    </xf>
    <xf numFmtId="38" fontId="17" fillId="3" borderId="6" xfId="0" applyNumberFormat="1" applyFont="1" applyFill="1" applyBorder="1" applyAlignment="1" applyProtection="1">
      <alignment horizontal="centerContinuous" vertical="top"/>
    </xf>
    <xf numFmtId="0" fontId="10" fillId="0" borderId="0" xfId="0" applyFont="1" applyAlignment="1">
      <alignment horizontal="center"/>
    </xf>
    <xf numFmtId="38" fontId="0" fillId="0" borderId="0" xfId="0" applyNumberFormat="1" applyFill="1"/>
    <xf numFmtId="38" fontId="4" fillId="0" borderId="0" xfId="0" applyNumberFormat="1" applyFont="1" applyFill="1" applyAlignment="1">
      <alignment horizontal="center"/>
    </xf>
    <xf numFmtId="0" fontId="0" fillId="0" borderId="0" xfId="0" applyAlignment="1">
      <alignment horizontal="left" indent="4"/>
    </xf>
    <xf numFmtId="0" fontId="3" fillId="0" borderId="0" xfId="0" applyFont="1" applyAlignment="1">
      <alignment horizontal="left" indent="3"/>
    </xf>
    <xf numFmtId="0" fontId="6" fillId="0" borderId="0" xfId="0" applyFont="1" applyAlignment="1">
      <alignment horizontal="left" indent="3"/>
    </xf>
    <xf numFmtId="0" fontId="6" fillId="0" borderId="0" xfId="0" applyFont="1" applyAlignment="1">
      <alignment horizontal="left" indent="4"/>
    </xf>
    <xf numFmtId="0" fontId="4" fillId="0" borderId="0" xfId="0" applyFont="1" applyAlignment="1">
      <alignment horizontal="left" indent="2"/>
    </xf>
    <xf numFmtId="0" fontId="4" fillId="0" borderId="0" xfId="0" applyFont="1" applyFill="1" applyAlignment="1">
      <alignment horizontal="center"/>
    </xf>
    <xf numFmtId="38" fontId="0" fillId="0" borderId="0" xfId="0" applyNumberFormat="1" applyFont="1" applyAlignment="1"/>
    <xf numFmtId="38" fontId="0" fillId="0" borderId="0" xfId="0" applyNumberFormat="1" applyAlignment="1"/>
    <xf numFmtId="38" fontId="19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indent="2"/>
    </xf>
    <xf numFmtId="0" fontId="7" fillId="0" borderId="0" xfId="0" applyFont="1" applyAlignment="1">
      <alignment horizontal="left" indent="4"/>
    </xf>
    <xf numFmtId="0" fontId="6" fillId="0" borderId="0" xfId="0" applyFont="1" applyAlignment="1">
      <alignment horizontal="left" indent="5"/>
    </xf>
    <xf numFmtId="0" fontId="8" fillId="0" borderId="0" xfId="0" applyFont="1" applyAlignment="1">
      <alignment horizontal="left" indent="4"/>
    </xf>
    <xf numFmtId="0" fontId="0" fillId="0" borderId="0" xfId="0" applyFont="1" applyAlignment="1">
      <alignment horizontal="left" indent="4"/>
    </xf>
    <xf numFmtId="0" fontId="0" fillId="0" borderId="0" xfId="0" applyFont="1" applyBorder="1" applyAlignment="1">
      <alignment horizontal="left" indent="2"/>
    </xf>
    <xf numFmtId="0" fontId="4" fillId="0" borderId="0" xfId="0" applyFont="1" applyBorder="1" applyAlignment="1"/>
    <xf numFmtId="0" fontId="0" fillId="0" borderId="0" xfId="0" applyAlignment="1">
      <alignment horizontal="left" indent="5"/>
    </xf>
    <xf numFmtId="0" fontId="4" fillId="0" borderId="0" xfId="0" applyFont="1" applyBorder="1" applyAlignment="1">
      <alignment horizontal="left" indent="4"/>
    </xf>
    <xf numFmtId="0" fontId="0" fillId="0" borderId="0" xfId="0" applyFill="1" applyBorder="1"/>
    <xf numFmtId="8" fontId="0" fillId="0" borderId="0" xfId="0" applyNumberFormat="1" applyFill="1" applyBorder="1"/>
    <xf numFmtId="38" fontId="0" fillId="0" borderId="0" xfId="0" applyNumberFormat="1" applyFill="1" applyBorder="1" applyAlignment="1"/>
    <xf numFmtId="38" fontId="0" fillId="0" borderId="0" xfId="0" applyNumberFormat="1" applyFill="1" applyBorder="1"/>
    <xf numFmtId="38" fontId="0" fillId="0" borderId="8" xfId="0" applyNumberFormat="1" applyFont="1" applyBorder="1" applyAlignment="1">
      <alignment horizontal="center"/>
    </xf>
    <xf numFmtId="38" fontId="0" fillId="0" borderId="8" xfId="0" applyNumberFormat="1" applyFont="1" applyBorder="1" applyAlignment="1"/>
    <xf numFmtId="38" fontId="6" fillId="0" borderId="0" xfId="0" applyNumberFormat="1" applyFont="1" applyBorder="1" applyAlignment="1">
      <alignment horizontal="center"/>
    </xf>
    <xf numFmtId="38" fontId="6" fillId="0" borderId="0" xfId="0" applyNumberFormat="1" applyFont="1" applyBorder="1" applyAlignment="1"/>
    <xf numFmtId="38" fontId="4" fillId="0" borderId="0" xfId="0" applyNumberFormat="1" applyFont="1" applyBorder="1" applyAlignment="1">
      <alignment horizontal="center"/>
    </xf>
    <xf numFmtId="38" fontId="4" fillId="0" borderId="0" xfId="0" applyNumberFormat="1" applyFont="1" applyBorder="1" applyAlignment="1"/>
    <xf numFmtId="38" fontId="0" fillId="0" borderId="0" xfId="0" applyNumberFormat="1" applyFont="1" applyBorder="1" applyAlignment="1">
      <alignment horizontal="center"/>
    </xf>
    <xf numFmtId="38" fontId="0" fillId="0" borderId="0" xfId="0" applyNumberFormat="1" applyFont="1" applyBorder="1" applyAlignment="1"/>
    <xf numFmtId="38" fontId="7" fillId="0" borderId="0" xfId="0" applyNumberFormat="1" applyFont="1" applyBorder="1" applyAlignment="1">
      <alignment horizontal="center"/>
    </xf>
    <xf numFmtId="38" fontId="7" fillId="0" borderId="0" xfId="0" applyNumberFormat="1" applyFont="1" applyBorder="1" applyAlignment="1"/>
    <xf numFmtId="38" fontId="4" fillId="0" borderId="2" xfId="0" applyNumberFormat="1" applyFont="1" applyBorder="1" applyAlignment="1">
      <alignment horizontal="center"/>
    </xf>
    <xf numFmtId="38" fontId="4" fillId="0" borderId="2" xfId="0" applyNumberFormat="1" applyFont="1" applyBorder="1" applyAlignment="1"/>
    <xf numFmtId="0" fontId="4" fillId="0" borderId="16" xfId="0" applyFont="1" applyBorder="1"/>
    <xf numFmtId="0" fontId="0" fillId="0" borderId="11" xfId="0" applyFont="1" applyBorder="1" applyAlignment="1">
      <alignment horizontal="left" indent="2"/>
    </xf>
    <xf numFmtId="38" fontId="10" fillId="8" borderId="7" xfId="0" applyNumberFormat="1" applyFont="1" applyFill="1" applyBorder="1" applyAlignment="1">
      <alignment horizontal="center"/>
    </xf>
    <xf numFmtId="38" fontId="10" fillId="9" borderId="7" xfId="0" applyNumberFormat="1" applyFont="1" applyFill="1" applyBorder="1" applyAlignment="1">
      <alignment horizontal="center"/>
    </xf>
    <xf numFmtId="38" fontId="20" fillId="4" borderId="7" xfId="0" applyNumberFormat="1" applyFont="1" applyFill="1" applyBorder="1" applyAlignment="1">
      <alignment horizontal="center"/>
    </xf>
    <xf numFmtId="38" fontId="0" fillId="4" borderId="17" xfId="0" applyNumberFormat="1" applyFont="1" applyFill="1" applyBorder="1" applyAlignment="1">
      <alignment horizontal="center"/>
    </xf>
    <xf numFmtId="38" fontId="6" fillId="4" borderId="18" xfId="0" applyNumberFormat="1" applyFont="1" applyFill="1" applyBorder="1" applyAlignment="1">
      <alignment horizontal="center"/>
    </xf>
    <xf numFmtId="38" fontId="4" fillId="4" borderId="18" xfId="0" applyNumberFormat="1" applyFont="1" applyFill="1" applyBorder="1" applyAlignment="1">
      <alignment horizontal="center"/>
    </xf>
    <xf numFmtId="38" fontId="0" fillId="4" borderId="18" xfId="0" applyNumberFormat="1" applyFont="1" applyFill="1" applyBorder="1" applyAlignment="1">
      <alignment horizontal="center"/>
    </xf>
    <xf numFmtId="38" fontId="7" fillId="4" borderId="18" xfId="0" applyNumberFormat="1" applyFont="1" applyFill="1" applyBorder="1" applyAlignment="1">
      <alignment horizontal="center"/>
    </xf>
    <xf numFmtId="38" fontId="4" fillId="4" borderId="19" xfId="0" applyNumberFormat="1" applyFont="1" applyFill="1" applyBorder="1" applyAlignment="1">
      <alignment horizontal="center"/>
    </xf>
    <xf numFmtId="38" fontId="0" fillId="6" borderId="17" xfId="0" applyNumberFormat="1" applyFont="1" applyFill="1" applyBorder="1" applyAlignment="1">
      <alignment horizontal="center"/>
    </xf>
    <xf numFmtId="38" fontId="6" fillId="6" borderId="18" xfId="0" applyNumberFormat="1" applyFont="1" applyFill="1" applyBorder="1" applyAlignment="1">
      <alignment horizontal="center"/>
    </xf>
    <xf numFmtId="38" fontId="4" fillId="6" borderId="18" xfId="0" applyNumberFormat="1" applyFont="1" applyFill="1" applyBorder="1" applyAlignment="1">
      <alignment horizontal="center"/>
    </xf>
    <xf numFmtId="38" fontId="0" fillId="6" borderId="18" xfId="0" applyNumberFormat="1" applyFont="1" applyFill="1" applyBorder="1" applyAlignment="1">
      <alignment horizontal="center"/>
    </xf>
    <xf numFmtId="38" fontId="7" fillId="6" borderId="18" xfId="0" applyNumberFormat="1" applyFont="1" applyFill="1" applyBorder="1" applyAlignment="1">
      <alignment horizontal="center"/>
    </xf>
    <xf numFmtId="38" fontId="4" fillId="6" borderId="19" xfId="0" applyNumberFormat="1" applyFont="1" applyFill="1" applyBorder="1" applyAlignment="1">
      <alignment horizontal="center"/>
    </xf>
    <xf numFmtId="38" fontId="20" fillId="7" borderId="7" xfId="0" applyNumberFormat="1" applyFont="1" applyFill="1" applyBorder="1" applyAlignment="1">
      <alignment horizontal="center"/>
    </xf>
    <xf numFmtId="38" fontId="0" fillId="7" borderId="17" xfId="0" applyNumberFormat="1" applyFont="1" applyFill="1" applyBorder="1" applyAlignment="1">
      <alignment horizontal="center"/>
    </xf>
    <xf numFmtId="38" fontId="6" fillId="7" borderId="18" xfId="0" applyNumberFormat="1" applyFont="1" applyFill="1" applyBorder="1" applyAlignment="1">
      <alignment horizontal="center"/>
    </xf>
    <xf numFmtId="38" fontId="4" fillId="7" borderId="18" xfId="0" applyNumberFormat="1" applyFont="1" applyFill="1" applyBorder="1" applyAlignment="1">
      <alignment horizontal="center"/>
    </xf>
    <xf numFmtId="38" fontId="0" fillId="7" borderId="18" xfId="0" applyNumberFormat="1" applyFont="1" applyFill="1" applyBorder="1" applyAlignment="1">
      <alignment horizontal="center"/>
    </xf>
    <xf numFmtId="38" fontId="7" fillId="7" borderId="18" xfId="0" applyNumberFormat="1" applyFont="1" applyFill="1" applyBorder="1" applyAlignment="1">
      <alignment horizontal="center"/>
    </xf>
    <xf numFmtId="38" fontId="4" fillId="7" borderId="19" xfId="0" applyNumberFormat="1" applyFont="1" applyFill="1" applyBorder="1" applyAlignment="1">
      <alignment horizontal="center"/>
    </xf>
    <xf numFmtId="38" fontId="0" fillId="8" borderId="17" xfId="0" applyNumberFormat="1" applyFont="1" applyFill="1" applyBorder="1" applyAlignment="1">
      <alignment horizontal="center"/>
    </xf>
    <xf numFmtId="38" fontId="6" fillId="8" borderId="18" xfId="0" applyNumberFormat="1" applyFont="1" applyFill="1" applyBorder="1" applyAlignment="1">
      <alignment horizontal="center"/>
    </xf>
    <xf numFmtId="38" fontId="4" fillId="8" borderId="18" xfId="0" applyNumberFormat="1" applyFont="1" applyFill="1" applyBorder="1" applyAlignment="1">
      <alignment horizontal="center"/>
    </xf>
    <xf numFmtId="38" fontId="0" fillId="8" borderId="18" xfId="0" applyNumberFormat="1" applyFont="1" applyFill="1" applyBorder="1" applyAlignment="1">
      <alignment horizontal="center"/>
    </xf>
    <xf numFmtId="38" fontId="7" fillId="8" borderId="18" xfId="0" applyNumberFormat="1" applyFont="1" applyFill="1" applyBorder="1" applyAlignment="1">
      <alignment horizontal="center"/>
    </xf>
    <xf numFmtId="38" fontId="4" fillId="8" borderId="19" xfId="0" applyNumberFormat="1" applyFont="1" applyFill="1" applyBorder="1" applyAlignment="1">
      <alignment horizontal="center"/>
    </xf>
    <xf numFmtId="38" fontId="0" fillId="9" borderId="17" xfId="0" applyNumberFormat="1" applyFont="1" applyFill="1" applyBorder="1" applyAlignment="1">
      <alignment horizontal="center"/>
    </xf>
    <xf numFmtId="38" fontId="6" fillId="9" borderId="18" xfId="0" applyNumberFormat="1" applyFont="1" applyFill="1" applyBorder="1" applyAlignment="1">
      <alignment horizontal="center"/>
    </xf>
    <xf numFmtId="38" fontId="4" fillId="9" borderId="18" xfId="0" applyNumberFormat="1" applyFont="1" applyFill="1" applyBorder="1" applyAlignment="1">
      <alignment horizontal="center"/>
    </xf>
    <xf numFmtId="38" fontId="0" fillId="9" borderId="18" xfId="0" applyNumberFormat="1" applyFont="1" applyFill="1" applyBorder="1" applyAlignment="1">
      <alignment horizontal="center"/>
    </xf>
    <xf numFmtId="38" fontId="7" fillId="9" borderId="18" xfId="0" applyNumberFormat="1" applyFont="1" applyFill="1" applyBorder="1" applyAlignment="1">
      <alignment horizontal="center"/>
    </xf>
    <xf numFmtId="38" fontId="4" fillId="9" borderId="19" xfId="0" applyNumberFormat="1" applyFont="1" applyFill="1" applyBorder="1" applyAlignment="1">
      <alignment horizontal="center"/>
    </xf>
    <xf numFmtId="0" fontId="22" fillId="6" borderId="7" xfId="0" applyFont="1" applyFill="1" applyBorder="1" applyAlignment="1">
      <alignment horizontal="center"/>
    </xf>
    <xf numFmtId="0" fontId="22" fillId="7" borderId="7" xfId="0" applyFont="1" applyFill="1" applyBorder="1" applyAlignment="1">
      <alignment horizontal="center"/>
    </xf>
    <xf numFmtId="0" fontId="22" fillId="4" borderId="7" xfId="0" applyFont="1" applyFill="1" applyBorder="1" applyAlignment="1">
      <alignment horizontal="center"/>
    </xf>
    <xf numFmtId="0" fontId="4" fillId="8" borderId="7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21" fillId="10" borderId="9" xfId="0" applyFont="1" applyFill="1" applyBorder="1" applyAlignment="1">
      <alignment horizontal="center"/>
    </xf>
    <xf numFmtId="0" fontId="0" fillId="0" borderId="0" xfId="0" applyAlignment="1">
      <alignment horizontal="left" indent="2"/>
    </xf>
    <xf numFmtId="38" fontId="0" fillId="0" borderId="11" xfId="0" applyNumberFormat="1" applyFont="1" applyBorder="1" applyAlignment="1"/>
    <xf numFmtId="38" fontId="0" fillId="0" borderId="9" xfId="0" applyNumberFormat="1" applyFont="1" applyBorder="1" applyAlignment="1"/>
    <xf numFmtId="38" fontId="0" fillId="0" borderId="10" xfId="0" applyNumberFormat="1" applyFont="1" applyBorder="1" applyAlignment="1"/>
    <xf numFmtId="38" fontId="6" fillId="0" borderId="11" xfId="0" applyNumberFormat="1" applyFont="1" applyBorder="1" applyAlignment="1"/>
    <xf numFmtId="38" fontId="6" fillId="0" borderId="12" xfId="0" applyNumberFormat="1" applyFont="1" applyBorder="1" applyAlignment="1"/>
    <xf numFmtId="38" fontId="4" fillId="0" borderId="11" xfId="0" applyNumberFormat="1" applyFont="1" applyBorder="1" applyAlignment="1"/>
    <xf numFmtId="38" fontId="4" fillId="0" borderId="12" xfId="0" applyNumberFormat="1" applyFont="1" applyBorder="1" applyAlignment="1"/>
    <xf numFmtId="38" fontId="0" fillId="0" borderId="12" xfId="0" applyNumberFormat="1" applyFont="1" applyBorder="1" applyAlignment="1"/>
    <xf numFmtId="38" fontId="7" fillId="0" borderId="11" xfId="0" applyNumberFormat="1" applyFont="1" applyBorder="1" applyAlignment="1"/>
    <xf numFmtId="38" fontId="7" fillId="0" borderId="12" xfId="0" applyNumberFormat="1" applyFont="1" applyBorder="1" applyAlignment="1"/>
    <xf numFmtId="38" fontId="4" fillId="0" borderId="13" xfId="0" applyNumberFormat="1" applyFont="1" applyBorder="1" applyAlignment="1"/>
    <xf numFmtId="38" fontId="4" fillId="0" borderId="14" xfId="0" applyNumberFormat="1" applyFont="1" applyBorder="1" applyAlignment="1"/>
    <xf numFmtId="38" fontId="0" fillId="0" borderId="9" xfId="0" applyNumberFormat="1" applyBorder="1" applyAlignment="1"/>
    <xf numFmtId="38" fontId="0" fillId="0" borderId="8" xfId="0" applyNumberFormat="1" applyBorder="1" applyAlignment="1"/>
    <xf numFmtId="38" fontId="0" fillId="0" borderId="10" xfId="0" applyNumberFormat="1" applyBorder="1" applyAlignment="1"/>
    <xf numFmtId="38" fontId="0" fillId="0" borderId="11" xfId="0" applyNumberFormat="1" applyBorder="1" applyAlignment="1"/>
    <xf numFmtId="38" fontId="0" fillId="0" borderId="0" xfId="0" applyNumberFormat="1" applyBorder="1" applyAlignment="1"/>
    <xf numFmtId="38" fontId="0" fillId="0" borderId="12" xfId="0" applyNumberFormat="1" applyBorder="1" applyAlignment="1"/>
    <xf numFmtId="38" fontId="4" fillId="9" borderId="7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7" fillId="3" borderId="20" xfId="0" applyFont="1" applyFill="1" applyBorder="1" applyAlignment="1">
      <alignment horizontal="centerContinuous" vertical="center"/>
    </xf>
    <xf numFmtId="0" fontId="17" fillId="3" borderId="21" xfId="0" applyFont="1" applyFill="1" applyBorder="1" applyAlignment="1">
      <alignment horizontal="centerContinuous" vertical="center"/>
    </xf>
    <xf numFmtId="0" fontId="17" fillId="3" borderId="22" xfId="0" applyFont="1" applyFill="1" applyBorder="1" applyAlignment="1">
      <alignment horizontal="centerContinuous" vertical="center"/>
    </xf>
    <xf numFmtId="38" fontId="0" fillId="5" borderId="23" xfId="0" applyNumberFormat="1" applyFont="1" applyFill="1" applyBorder="1" applyAlignment="1"/>
    <xf numFmtId="38" fontId="0" fillId="5" borderId="24" xfId="0" applyNumberFormat="1" applyFont="1" applyFill="1" applyBorder="1"/>
    <xf numFmtId="38" fontId="10" fillId="5" borderId="23" xfId="0" applyNumberFormat="1" applyFont="1" applyFill="1" applyBorder="1" applyAlignment="1">
      <alignment horizontal="center"/>
    </xf>
    <xf numFmtId="38" fontId="10" fillId="5" borderId="25" xfId="0" applyNumberFormat="1" applyFont="1" applyFill="1" applyBorder="1" applyAlignment="1">
      <alignment horizontal="center"/>
    </xf>
    <xf numFmtId="0" fontId="0" fillId="0" borderId="12" xfId="0" applyBorder="1"/>
    <xf numFmtId="164" fontId="0" fillId="0" borderId="13" xfId="0" applyNumberFormat="1" applyFont="1" applyBorder="1" applyAlignment="1"/>
    <xf numFmtId="164" fontId="0" fillId="0" borderId="2" xfId="0" applyNumberFormat="1" applyFont="1" applyBorder="1" applyAlignment="1"/>
    <xf numFmtId="164" fontId="10" fillId="9" borderId="7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/>
    <xf numFmtId="164" fontId="0" fillId="0" borderId="11" xfId="0" applyNumberFormat="1" applyFont="1" applyBorder="1" applyAlignment="1"/>
    <xf numFmtId="164" fontId="0" fillId="0" borderId="12" xfId="0" applyNumberFormat="1" applyFont="1" applyBorder="1" applyAlignment="1"/>
    <xf numFmtId="38" fontId="2" fillId="2" borderId="26" xfId="2" applyNumberFormat="1" applyBorder="1" applyAlignment="1">
      <alignment horizontal="center"/>
    </xf>
    <xf numFmtId="164" fontId="20" fillId="7" borderId="7" xfId="0" applyNumberFormat="1" applyFont="1" applyFill="1" applyBorder="1" applyAlignment="1">
      <alignment horizontal="center"/>
    </xf>
    <xf numFmtId="164" fontId="22" fillId="6" borderId="7" xfId="0" applyNumberFormat="1" applyFont="1" applyFill="1" applyBorder="1" applyAlignment="1">
      <alignment horizontal="center"/>
    </xf>
    <xf numFmtId="164" fontId="20" fillId="4" borderId="7" xfId="0" applyNumberFormat="1" applyFont="1" applyFill="1" applyBorder="1" applyAlignment="1">
      <alignment horizontal="center"/>
    </xf>
    <xf numFmtId="164" fontId="10" fillId="8" borderId="7" xfId="0" applyNumberFormat="1" applyFont="1" applyFill="1" applyBorder="1" applyAlignment="1">
      <alignment horizontal="center"/>
    </xf>
    <xf numFmtId="38" fontId="2" fillId="2" borderId="27" xfId="2" applyNumberFormat="1" applyBorder="1" applyAlignment="1">
      <alignment horizontal="center"/>
    </xf>
    <xf numFmtId="38" fontId="2" fillId="2" borderId="28" xfId="2" applyNumberFormat="1" applyBorder="1" applyAlignment="1">
      <alignment horizontal="center"/>
    </xf>
    <xf numFmtId="38" fontId="2" fillId="2" borderId="29" xfId="2" applyNumberFormat="1" applyBorder="1" applyAlignment="1">
      <alignment horizontal="center"/>
    </xf>
    <xf numFmtId="38" fontId="2" fillId="2" borderId="1" xfId="2" applyNumberFormat="1" applyBorder="1" applyAlignment="1">
      <alignment horizontal="center"/>
    </xf>
    <xf numFmtId="38" fontId="2" fillId="2" borderId="30" xfId="2" applyNumberFormat="1" applyBorder="1" applyAlignment="1">
      <alignment horizontal="center"/>
    </xf>
    <xf numFmtId="38" fontId="10" fillId="5" borderId="24" xfId="0" applyNumberFormat="1" applyFont="1" applyFill="1" applyBorder="1" applyAlignment="1">
      <alignment horizontal="center"/>
    </xf>
    <xf numFmtId="38" fontId="22" fillId="6" borderId="7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left" indent="2"/>
    </xf>
    <xf numFmtId="164" fontId="0" fillId="0" borderId="0" xfId="0" applyNumberFormat="1"/>
    <xf numFmtId="167" fontId="2" fillId="2" borderId="31" xfId="2" applyNumberFormat="1" applyBorder="1" applyAlignment="1">
      <alignment horizontal="center"/>
    </xf>
    <xf numFmtId="167" fontId="0" fillId="0" borderId="13" xfId="0" applyNumberFormat="1" applyFont="1" applyBorder="1" applyAlignment="1"/>
    <xf numFmtId="167" fontId="0" fillId="0" borderId="2" xfId="0" applyNumberFormat="1" applyFont="1" applyBorder="1" applyAlignment="1"/>
    <xf numFmtId="167" fontId="0" fillId="0" borderId="14" xfId="0" applyNumberFormat="1" applyFont="1" applyBorder="1" applyAlignment="1"/>
    <xf numFmtId="167" fontId="2" fillId="2" borderId="32" xfId="2" applyNumberFormat="1" applyBorder="1" applyAlignment="1">
      <alignment horizontal="center"/>
    </xf>
    <xf numFmtId="167" fontId="2" fillId="2" borderId="33" xfId="2" applyNumberFormat="1" applyBorder="1" applyAlignment="1">
      <alignment horizontal="center"/>
    </xf>
    <xf numFmtId="38" fontId="0" fillId="0" borderId="0" xfId="0" applyNumberFormat="1"/>
    <xf numFmtId="38" fontId="4" fillId="5" borderId="24" xfId="0" applyNumberFormat="1" applyFont="1" applyFill="1" applyBorder="1"/>
    <xf numFmtId="38" fontId="4" fillId="5" borderId="23" xfId="0" applyNumberFormat="1" applyFont="1" applyFill="1" applyBorder="1" applyAlignment="1"/>
    <xf numFmtId="38" fontId="4" fillId="5" borderId="25" xfId="0" applyNumberFormat="1" applyFont="1" applyFill="1" applyBorder="1" applyAlignment="1"/>
    <xf numFmtId="38" fontId="0" fillId="0" borderId="0" xfId="0" applyNumberFormat="1" applyFont="1" applyAlignment="1">
      <alignment horizontal="left" indent="2"/>
    </xf>
    <xf numFmtId="38" fontId="22" fillId="7" borderId="7" xfId="0" applyNumberFormat="1" applyFont="1" applyFill="1" applyBorder="1" applyAlignment="1">
      <alignment horizontal="center"/>
    </xf>
    <xf numFmtId="38" fontId="22" fillId="4" borderId="7" xfId="0" applyNumberFormat="1" applyFont="1" applyFill="1" applyBorder="1" applyAlignment="1">
      <alignment horizontal="center"/>
    </xf>
    <xf numFmtId="38" fontId="4" fillId="8" borderId="7" xfId="0" applyNumberFormat="1" applyFont="1" applyFill="1" applyBorder="1" applyAlignment="1">
      <alignment horizontal="center"/>
    </xf>
    <xf numFmtId="0" fontId="0" fillId="0" borderId="0" xfId="0" applyBorder="1"/>
    <xf numFmtId="38" fontId="22" fillId="6" borderId="15" xfId="0" applyNumberFormat="1" applyFont="1" applyFill="1" applyBorder="1" applyAlignment="1">
      <alignment horizontal="center"/>
    </xf>
    <xf numFmtId="0" fontId="0" fillId="12" borderId="11" xfId="0" applyFill="1" applyBorder="1"/>
    <xf numFmtId="0" fontId="0" fillId="12" borderId="0" xfId="0" applyFill="1" applyBorder="1"/>
    <xf numFmtId="8" fontId="0" fillId="12" borderId="0" xfId="0" applyNumberFormat="1" applyFill="1" applyBorder="1"/>
    <xf numFmtId="38" fontId="0" fillId="12" borderId="0" xfId="0" applyNumberFormat="1" applyFill="1" applyBorder="1" applyAlignment="1"/>
    <xf numFmtId="38" fontId="0" fillId="12" borderId="0" xfId="0" applyNumberFormat="1" applyFill="1" applyBorder="1"/>
    <xf numFmtId="0" fontId="0" fillId="12" borderId="12" xfId="0" applyFill="1" applyBorder="1"/>
    <xf numFmtId="0" fontId="0" fillId="12" borderId="13" xfId="0" applyFont="1" applyFill="1" applyBorder="1"/>
    <xf numFmtId="0" fontId="0" fillId="12" borderId="2" xfId="0" applyFont="1" applyFill="1" applyBorder="1"/>
    <xf numFmtId="8" fontId="0" fillId="12" borderId="2" xfId="0" applyNumberFormat="1" applyFont="1" applyFill="1" applyBorder="1"/>
    <xf numFmtId="38" fontId="0" fillId="12" borderId="2" xfId="0" applyNumberFormat="1" applyFont="1" applyFill="1" applyBorder="1" applyAlignment="1"/>
    <xf numFmtId="38" fontId="0" fillId="12" borderId="2" xfId="0" applyNumberFormat="1" applyFont="1" applyFill="1" applyBorder="1"/>
    <xf numFmtId="0" fontId="0" fillId="12" borderId="14" xfId="0" applyFont="1" applyFill="1" applyBorder="1"/>
    <xf numFmtId="0" fontId="0" fillId="12" borderId="9" xfId="0" applyFill="1" applyBorder="1"/>
    <xf numFmtId="0" fontId="0" fillId="12" borderId="8" xfId="0" applyFill="1" applyBorder="1"/>
    <xf numFmtId="8" fontId="0" fillId="12" borderId="8" xfId="0" applyNumberFormat="1" applyFill="1" applyBorder="1"/>
    <xf numFmtId="38" fontId="0" fillId="12" borderId="8" xfId="0" applyNumberFormat="1" applyFill="1" applyBorder="1" applyAlignment="1"/>
    <xf numFmtId="38" fontId="0" fillId="12" borderId="8" xfId="0" applyNumberFormat="1" applyFill="1" applyBorder="1"/>
    <xf numFmtId="0" fontId="0" fillId="12" borderId="10" xfId="0" applyFill="1" applyBorder="1"/>
    <xf numFmtId="0" fontId="0" fillId="12" borderId="0" xfId="0" applyFill="1" applyBorder="1" applyAlignment="1">
      <alignment horizontal="centerContinuous"/>
    </xf>
    <xf numFmtId="8" fontId="0" fillId="12" borderId="0" xfId="0" applyNumberFormat="1" applyFill="1" applyBorder="1" applyAlignment="1">
      <alignment horizontal="centerContinuous"/>
    </xf>
    <xf numFmtId="38" fontId="0" fillId="12" borderId="0" xfId="0" applyNumberFormat="1" applyFill="1" applyBorder="1" applyAlignment="1">
      <alignment horizontal="centerContinuous"/>
    </xf>
    <xf numFmtId="38" fontId="0" fillId="12" borderId="12" xfId="0" applyNumberFormat="1" applyFill="1" applyBorder="1" applyAlignment="1">
      <alignment horizontal="centerContinuous"/>
    </xf>
    <xf numFmtId="6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top"/>
    </xf>
    <xf numFmtId="164" fontId="0" fillId="0" borderId="0" xfId="0" applyNumberFormat="1" applyFont="1"/>
    <xf numFmtId="0" fontId="23" fillId="0" borderId="0" xfId="0" applyFont="1" applyAlignment="1">
      <alignment horizontal="center"/>
    </xf>
    <xf numFmtId="9" fontId="2" fillId="2" borderId="1" xfId="2" applyNumberFormat="1" applyFont="1" applyAlignment="1">
      <alignment horizontal="center"/>
    </xf>
    <xf numFmtId="9" fontId="4" fillId="0" borderId="0" xfId="1" applyFont="1" applyAlignment="1">
      <alignment horizontal="center"/>
    </xf>
    <xf numFmtId="9" fontId="27" fillId="0" borderId="0" xfId="0" applyNumberFormat="1" applyFont="1" applyAlignment="1">
      <alignment horizontal="center"/>
    </xf>
    <xf numFmtId="165" fontId="2" fillId="2" borderId="1" xfId="2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38" fontId="2" fillId="2" borderId="1" xfId="2" applyNumberFormat="1" applyFont="1" applyAlignment="1">
      <alignment horizontal="center"/>
    </xf>
    <xf numFmtId="6" fontId="6" fillId="0" borderId="0" xfId="0" applyNumberFormat="1" applyFont="1" applyAlignment="1">
      <alignment horizontal="center"/>
    </xf>
    <xf numFmtId="38" fontId="0" fillId="5" borderId="23" xfId="0" applyNumberFormat="1" applyFont="1" applyFill="1" applyBorder="1"/>
    <xf numFmtId="6" fontId="2" fillId="2" borderId="37" xfId="2" applyNumberFormat="1" applyFont="1" applyBorder="1" applyAlignment="1">
      <alignment horizontal="center"/>
    </xf>
    <xf numFmtId="6" fontId="21" fillId="11" borderId="9" xfId="0" applyNumberFormat="1" applyFont="1" applyFill="1" applyBorder="1" applyAlignment="1">
      <alignment horizontal="center"/>
    </xf>
    <xf numFmtId="166" fontId="4" fillId="13" borderId="38" xfId="0" applyNumberFormat="1" applyFont="1" applyFill="1" applyBorder="1" applyAlignment="1">
      <alignment horizontal="center"/>
    </xf>
    <xf numFmtId="166" fontId="4" fillId="13" borderId="39" xfId="0" applyNumberFormat="1" applyFont="1" applyFill="1" applyBorder="1" applyAlignment="1">
      <alignment horizontal="center"/>
    </xf>
    <xf numFmtId="9" fontId="4" fillId="13" borderId="40" xfId="0" applyNumberFormat="1" applyFont="1" applyFill="1" applyBorder="1" applyAlignment="1">
      <alignment horizontal="left" indent="2"/>
    </xf>
    <xf numFmtId="9" fontId="4" fillId="13" borderId="42" xfId="0" applyNumberFormat="1" applyFont="1" applyFill="1" applyBorder="1" applyAlignment="1">
      <alignment horizontal="left" indent="2"/>
    </xf>
    <xf numFmtId="9" fontId="4" fillId="13" borderId="44" xfId="0" applyNumberFormat="1" applyFont="1" applyFill="1" applyBorder="1" applyAlignment="1">
      <alignment horizontal="left" indent="2"/>
    </xf>
    <xf numFmtId="6" fontId="4" fillId="13" borderId="36" xfId="0" applyNumberFormat="1" applyFont="1" applyFill="1" applyBorder="1" applyAlignment="1">
      <alignment horizontal="center"/>
    </xf>
    <xf numFmtId="0" fontId="4" fillId="0" borderId="12" xfId="0" applyFont="1" applyBorder="1"/>
    <xf numFmtId="0" fontId="4" fillId="12" borderId="11" xfId="0" applyFont="1" applyFill="1" applyBorder="1"/>
    <xf numFmtId="0" fontId="4" fillId="12" borderId="0" xfId="0" applyFont="1" applyFill="1" applyBorder="1"/>
    <xf numFmtId="8" fontId="4" fillId="12" borderId="0" xfId="0" applyNumberFormat="1" applyFont="1" applyFill="1" applyBorder="1"/>
    <xf numFmtId="38" fontId="4" fillId="12" borderId="0" xfId="0" applyNumberFormat="1" applyFont="1" applyFill="1" applyBorder="1" applyAlignment="1"/>
    <xf numFmtId="38" fontId="4" fillId="12" borderId="0" xfId="0" applyNumberFormat="1" applyFont="1" applyFill="1" applyBorder="1"/>
    <xf numFmtId="6" fontId="4" fillId="13" borderId="38" xfId="0" applyNumberFormat="1" applyFont="1" applyFill="1" applyBorder="1" applyAlignment="1">
      <alignment horizontal="center"/>
    </xf>
    <xf numFmtId="6" fontId="4" fillId="13" borderId="39" xfId="0" applyNumberFormat="1" applyFont="1" applyFill="1" applyBorder="1" applyAlignment="1">
      <alignment horizontal="center"/>
    </xf>
    <xf numFmtId="0" fontId="25" fillId="5" borderId="46" xfId="0" applyFont="1" applyFill="1" applyBorder="1" applyAlignment="1">
      <alignment horizontal="center"/>
    </xf>
    <xf numFmtId="0" fontId="25" fillId="5" borderId="51" xfId="0" applyFont="1" applyFill="1" applyBorder="1" applyAlignment="1">
      <alignment horizontal="center"/>
    </xf>
    <xf numFmtId="0" fontId="25" fillId="5" borderId="34" xfId="0" applyFont="1" applyFill="1" applyBorder="1" applyAlignment="1">
      <alignment horizontal="center"/>
    </xf>
    <xf numFmtId="38" fontId="25" fillId="5" borderId="47" xfId="0" applyNumberFormat="1" applyFont="1" applyFill="1" applyBorder="1" applyAlignment="1"/>
    <xf numFmtId="38" fontId="25" fillId="5" borderId="0" xfId="0" applyNumberFormat="1" applyFont="1" applyFill="1" applyBorder="1" applyAlignment="1">
      <alignment horizontal="center"/>
    </xf>
    <xf numFmtId="38" fontId="25" fillId="5" borderId="48" xfId="0" applyNumberFormat="1" applyFont="1" applyFill="1" applyBorder="1" applyAlignment="1">
      <alignment horizontal="center"/>
    </xf>
    <xf numFmtId="38" fontId="25" fillId="5" borderId="49" xfId="0" applyNumberFormat="1" applyFont="1" applyFill="1" applyBorder="1" applyAlignment="1"/>
    <xf numFmtId="38" fontId="25" fillId="5" borderId="52" xfId="0" applyNumberFormat="1" applyFont="1" applyFill="1" applyBorder="1" applyAlignment="1">
      <alignment horizontal="center"/>
    </xf>
    <xf numFmtId="38" fontId="25" fillId="5" borderId="50" xfId="0" applyNumberFormat="1" applyFont="1" applyFill="1" applyBorder="1" applyAlignment="1">
      <alignment horizontal="center"/>
    </xf>
    <xf numFmtId="38" fontId="26" fillId="5" borderId="47" xfId="0" applyNumberFormat="1" applyFont="1" applyFill="1" applyBorder="1" applyAlignment="1"/>
    <xf numFmtId="38" fontId="26" fillId="5" borderId="0" xfId="0" applyNumberFormat="1" applyFont="1" applyFill="1" applyBorder="1" applyAlignment="1">
      <alignment horizontal="center"/>
    </xf>
    <xf numFmtId="38" fontId="26" fillId="5" borderId="48" xfId="0" applyNumberFormat="1" applyFont="1" applyFill="1" applyBorder="1" applyAlignment="1">
      <alignment horizontal="center"/>
    </xf>
    <xf numFmtId="38" fontId="9" fillId="0" borderId="9" xfId="0" applyNumberFormat="1" applyFont="1" applyBorder="1" applyAlignment="1"/>
    <xf numFmtId="38" fontId="9" fillId="0" borderId="8" xfId="0" applyNumberFormat="1" applyFont="1" applyBorder="1" applyAlignment="1"/>
    <xf numFmtId="38" fontId="9" fillId="0" borderId="10" xfId="0" applyNumberFormat="1" applyFont="1" applyBorder="1" applyAlignment="1"/>
    <xf numFmtId="38" fontId="9" fillId="0" borderId="11" xfId="0" applyNumberFormat="1" applyFont="1" applyBorder="1" applyAlignment="1"/>
    <xf numFmtId="38" fontId="9" fillId="0" borderId="0" xfId="0" applyNumberFormat="1" applyFont="1" applyBorder="1" applyAlignment="1"/>
    <xf numFmtId="38" fontId="9" fillId="0" borderId="12" xfId="0" applyNumberFormat="1" applyFont="1" applyBorder="1" applyAlignment="1"/>
    <xf numFmtId="38" fontId="9" fillId="0" borderId="13" xfId="0" applyNumberFormat="1" applyFont="1" applyBorder="1" applyAlignment="1"/>
    <xf numFmtId="38" fontId="9" fillId="0" borderId="2" xfId="0" applyNumberFormat="1" applyFont="1" applyBorder="1" applyAlignment="1"/>
    <xf numFmtId="38" fontId="9" fillId="0" borderId="14" xfId="0" applyNumberFormat="1" applyFont="1" applyBorder="1" applyAlignment="1"/>
    <xf numFmtId="38" fontId="0" fillId="6" borderId="19" xfId="0" applyNumberFormat="1" applyFont="1" applyFill="1" applyBorder="1" applyAlignment="1">
      <alignment horizontal="center"/>
    </xf>
    <xf numFmtId="38" fontId="0" fillId="0" borderId="2" xfId="0" applyNumberFormat="1" applyFont="1" applyBorder="1" applyAlignment="1">
      <alignment horizontal="center"/>
    </xf>
    <xf numFmtId="38" fontId="0" fillId="0" borderId="2" xfId="0" applyNumberFormat="1" applyFont="1" applyBorder="1" applyAlignment="1"/>
    <xf numFmtId="38" fontId="0" fillId="7" borderId="19" xfId="0" applyNumberFormat="1" applyFont="1" applyFill="1" applyBorder="1" applyAlignment="1">
      <alignment horizontal="center"/>
    </xf>
    <xf numFmtId="38" fontId="0" fillId="4" borderId="19" xfId="0" applyNumberFormat="1" applyFont="1" applyFill="1" applyBorder="1" applyAlignment="1">
      <alignment horizontal="center"/>
    </xf>
    <xf numFmtId="38" fontId="0" fillId="8" borderId="19" xfId="0" applyNumberFormat="1" applyFont="1" applyFill="1" applyBorder="1" applyAlignment="1">
      <alignment horizontal="center"/>
    </xf>
    <xf numFmtId="38" fontId="0" fillId="9" borderId="19" xfId="0" applyNumberFormat="1" applyFont="1" applyFill="1" applyBorder="1" applyAlignment="1">
      <alignment horizontal="center"/>
    </xf>
    <xf numFmtId="0" fontId="0" fillId="5" borderId="46" xfId="0" applyFill="1" applyBorder="1"/>
    <xf numFmtId="38" fontId="25" fillId="5" borderId="51" xfId="0" applyNumberFormat="1" applyFont="1" applyFill="1" applyBorder="1" applyAlignment="1">
      <alignment horizontal="center"/>
    </xf>
    <xf numFmtId="38" fontId="25" fillId="5" borderId="34" xfId="0" applyNumberFormat="1" applyFont="1" applyFill="1" applyBorder="1" applyAlignment="1">
      <alignment horizontal="center"/>
    </xf>
    <xf numFmtId="0" fontId="0" fillId="5" borderId="46" xfId="0" applyFill="1" applyBorder="1" applyAlignment="1"/>
    <xf numFmtId="38" fontId="25" fillId="5" borderId="34" xfId="0" applyNumberFormat="1" applyFont="1" applyFill="1" applyBorder="1" applyAlignment="1">
      <alignment horizontal="left"/>
    </xf>
    <xf numFmtId="38" fontId="31" fillId="5" borderId="51" xfId="0" applyNumberFormat="1" applyFont="1" applyFill="1" applyBorder="1" applyAlignment="1">
      <alignment horizontal="right"/>
    </xf>
    <xf numFmtId="168" fontId="25" fillId="5" borderId="48" xfId="1" applyNumberFormat="1" applyFont="1" applyFill="1" applyBorder="1" applyAlignment="1">
      <alignment horizontal="center"/>
    </xf>
    <xf numFmtId="168" fontId="25" fillId="5" borderId="50" xfId="1" applyNumberFormat="1" applyFont="1" applyFill="1" applyBorder="1" applyAlignment="1">
      <alignment horizontal="center"/>
    </xf>
    <xf numFmtId="38" fontId="25" fillId="5" borderId="51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38" fontId="25" fillId="5" borderId="46" xfId="0" applyNumberFormat="1" applyFont="1" applyFill="1" applyBorder="1" applyAlignment="1"/>
    <xf numFmtId="6" fontId="25" fillId="5" borderId="48" xfId="0" applyNumberFormat="1" applyFont="1" applyFill="1" applyBorder="1" applyAlignment="1">
      <alignment horizontal="center"/>
    </xf>
    <xf numFmtId="6" fontId="25" fillId="5" borderId="50" xfId="0" applyNumberFormat="1" applyFont="1" applyFill="1" applyBorder="1" applyAlignment="1">
      <alignment horizontal="center"/>
    </xf>
    <xf numFmtId="38" fontId="32" fillId="13" borderId="41" xfId="0" applyNumberFormat="1" applyFont="1" applyFill="1" applyBorder="1" applyAlignment="1">
      <alignment horizontal="centerContinuous"/>
    </xf>
    <xf numFmtId="38" fontId="32" fillId="13" borderId="43" xfId="0" applyNumberFormat="1" applyFont="1" applyFill="1" applyBorder="1" applyAlignment="1">
      <alignment horizontal="centerContinuous"/>
    </xf>
    <xf numFmtId="38" fontId="32" fillId="13" borderId="45" xfId="0" applyNumberFormat="1" applyFont="1" applyFill="1" applyBorder="1" applyAlignment="1">
      <alignment horizontal="centerContinuous"/>
    </xf>
    <xf numFmtId="0" fontId="33" fillId="10" borderId="35" xfId="0" applyFont="1" applyFill="1" applyBorder="1" applyAlignment="1">
      <alignment horizontal="center"/>
    </xf>
    <xf numFmtId="6" fontId="33" fillId="11" borderId="10" xfId="0" applyNumberFormat="1" applyFont="1" applyFill="1" applyBorder="1" applyAlignment="1">
      <alignment horizontal="centerContinuous"/>
    </xf>
  </cellXfs>
  <cellStyles count="4">
    <cellStyle name="Input" xfId="2" builtinId="20"/>
    <cellStyle name="Normal" xfId="0" builtinId="0"/>
    <cellStyle name="Percent" xfId="1" builtinId="5"/>
    <cellStyle name="Percent 2 3" xfId="3" xr:uid="{00000000-0005-0000-0000-000004000000}"/>
  </cellStyles>
  <dxfs count="0"/>
  <tableStyles count="0" defaultTableStyle="TableStyleMedium9" defaultPivotStyle="PivotStyleLight16"/>
  <colors>
    <mruColors>
      <color rgb="FF000099"/>
      <color rgb="FF003300"/>
      <color rgb="FF006600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0099"/>
                </a:solidFill>
              </a:defRPr>
            </a:pPr>
            <a:r>
              <a:rPr lang="en-US">
                <a:solidFill>
                  <a:srgbClr val="000099"/>
                </a:solidFill>
              </a:rPr>
              <a:t>Operations</a:t>
            </a:r>
            <a:endParaRPr lang="en-US" b="0">
              <a:solidFill>
                <a:srgbClr val="000099"/>
              </a:solidFill>
            </a:endParaRPr>
          </a:p>
        </c:rich>
      </c:tx>
      <c:layout>
        <c:manualLayout>
          <c:xMode val="edge"/>
          <c:yMode val="edge"/>
          <c:x val="0.3400946472600016"/>
          <c:y val="2.777753981042395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6952000318142033E-2"/>
          <c:y val="9.0197275554944847E-2"/>
          <c:w val="0.68461822953948925"/>
          <c:h val="0.65226012306633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Income!$BS$5</c:f>
              <c:strCache>
                <c:ptCount val="1"/>
                <c:pt idx="0">
                  <c:v># Clients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 cap="flat" cmpd="sng" algn="ctr">
              <a:solidFill>
                <a:srgbClr val="000099">
                  <a:alpha val="50000"/>
                </a:srgb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99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Income!$BT$4:$BX$4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Income!$BT$5:$BX$5</c:f>
              <c:numCache>
                <c:formatCode>#,##0_);[Red]\(#,##0\)</c:formatCode>
                <c:ptCount val="5"/>
                <c:pt idx="0">
                  <c:v>12</c:v>
                </c:pt>
                <c:pt idx="1">
                  <c:v>15</c:v>
                </c:pt>
                <c:pt idx="2">
                  <c:v>21</c:v>
                </c:pt>
                <c:pt idx="3">
                  <c:v>27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88-4B2E-916F-5F1426669D19}"/>
            </c:ext>
          </c:extLst>
        </c:ser>
        <c:ser>
          <c:idx val="1"/>
          <c:order val="1"/>
          <c:tx>
            <c:strRef>
              <c:f>Income!$BS$6</c:f>
              <c:strCache>
                <c:ptCount val="1"/>
                <c:pt idx="0">
                  <c:v># Projects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6350" cap="flat" cmpd="sng" algn="ctr">
              <a:solidFill>
                <a:srgbClr val="003300">
                  <a:alpha val="50000"/>
                </a:srgb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33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Income!$BT$4:$BX$4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Income!$BT$6:$BX$6</c:f>
              <c:numCache>
                <c:formatCode>#,##0_);[Red]\(#,##0\)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60</c:v>
                </c:pt>
                <c:pt idx="4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88-4B2E-916F-5F1426669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56896"/>
        <c:axId val="104658432"/>
      </c:barChart>
      <c:lineChart>
        <c:grouping val="standard"/>
        <c:varyColors val="0"/>
        <c:ser>
          <c:idx val="2"/>
          <c:order val="2"/>
          <c:tx>
            <c:strRef>
              <c:f>Income!$BS$7</c:f>
              <c:strCache>
                <c:ptCount val="1"/>
                <c:pt idx="0">
                  <c:v>Avg Proj Value ($k)</c:v>
                </c:pt>
              </c:strCache>
            </c:strRef>
          </c:tx>
          <c:spPr>
            <a:ln w="6350">
              <a:solidFill>
                <a:srgbClr val="C00000"/>
              </a:solidFill>
            </a:ln>
          </c:spPr>
          <c:marker>
            <c:symbol val="square"/>
            <c:size val="6"/>
            <c:spPr>
              <a:solidFill>
                <a:schemeClr val="accent6">
                  <a:lumMod val="60000"/>
                  <a:lumOff val="40000"/>
                </a:schemeClr>
              </a:solidFill>
              <a:ln w="6350">
                <a:solidFill>
                  <a:srgbClr val="C00000"/>
                </a:solidFill>
              </a:ln>
            </c:spPr>
          </c:marker>
          <c:dLbls>
            <c:numFmt formatCode="&quot;$&quot;#,##0.0_);[Red]\(&quot;$&quot;#,##0.0\)" sourceLinked="0"/>
            <c:spPr>
              <a:solidFill>
                <a:schemeClr val="accent6">
                  <a:lumMod val="60000"/>
                  <a:lumOff val="40000"/>
                </a:schemeClr>
              </a:solidFill>
              <a:ln w="6350" cap="flat" cmpd="sng" algn="ctr">
                <a:solidFill>
                  <a:srgbClr val="C00000">
                    <a:alpha val="50000"/>
                  </a:srgb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txPr>
              <a:bodyPr/>
              <a:lstStyle/>
              <a:p>
                <a:pPr>
                  <a:defRPr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Income!$BT$4:$BX$4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Income!$BT$7:$BX$7</c:f>
              <c:numCache>
                <c:formatCode>#,##0_);[Red]\(#,##0\)</c:formatCode>
                <c:ptCount val="5"/>
                <c:pt idx="0">
                  <c:v>4.5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988-4B2E-916F-5F1426669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914224"/>
        <c:axId val="509917832"/>
      </c:lineChart>
      <c:catAx>
        <c:axId val="104656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104658432"/>
        <c:crosses val="autoZero"/>
        <c:auto val="1"/>
        <c:lblAlgn val="ctr"/>
        <c:lblOffset val="100"/>
        <c:noMultiLvlLbl val="0"/>
      </c:catAx>
      <c:valAx>
        <c:axId val="104658432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 b="0">
                <a:solidFill>
                  <a:srgbClr val="000099"/>
                </a:solidFill>
              </a:defRPr>
            </a:pPr>
            <a:endParaRPr lang="en-US"/>
          </a:p>
        </c:txPr>
        <c:crossAx val="104656896"/>
        <c:crosses val="autoZero"/>
        <c:crossBetween val="between"/>
      </c:valAx>
      <c:valAx>
        <c:axId val="509917832"/>
        <c:scaling>
          <c:orientation val="minMax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noFill/>
          <a:ln w="9525">
            <a:solidFill>
              <a:srgbClr val="C00000"/>
            </a:solidFill>
          </a:ln>
        </c:spPr>
        <c:txPr>
          <a:bodyPr/>
          <a:lstStyle/>
          <a:p>
            <a:pPr>
              <a:defRPr b="0">
                <a:solidFill>
                  <a:srgbClr val="C00000"/>
                </a:solidFill>
              </a:defRPr>
            </a:pPr>
            <a:endParaRPr lang="en-US"/>
          </a:p>
        </c:txPr>
        <c:crossAx val="509914224"/>
        <c:crosses val="max"/>
        <c:crossBetween val="between"/>
      </c:valAx>
      <c:catAx>
        <c:axId val="509914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991783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0998647896285692"/>
          <c:y val="5.3438034801943715E-2"/>
          <c:w val="0.17486200588562792"/>
          <c:h val="0.674986351490588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0099"/>
                </a:solidFill>
              </a:defRPr>
            </a:pPr>
            <a:r>
              <a:rPr lang="en-US">
                <a:solidFill>
                  <a:srgbClr val="000099"/>
                </a:solidFill>
              </a:rPr>
              <a:t>P&amp;L</a:t>
            </a:r>
            <a:r>
              <a:rPr lang="en-US" sz="1100" b="0">
                <a:solidFill>
                  <a:srgbClr val="000099"/>
                </a:solidFill>
              </a:rPr>
              <a:t> ($k)</a:t>
            </a:r>
            <a:endParaRPr lang="en-US" b="0">
              <a:solidFill>
                <a:srgbClr val="000099"/>
              </a:solidFill>
            </a:endParaRPr>
          </a:p>
        </c:rich>
      </c:tx>
      <c:layout>
        <c:manualLayout>
          <c:xMode val="edge"/>
          <c:yMode val="edge"/>
          <c:x val="0.35777141493676928"/>
          <c:y val="2.777777777777777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2103515469657185E-2"/>
          <c:y val="8.0281787693205028E-2"/>
          <c:w val="0.64920265648612119"/>
          <c:h val="0.734594816272965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Income!$BS$12</c:f>
              <c:strCache>
                <c:ptCount val="1"/>
                <c:pt idx="0">
                  <c:v>EBIT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 cap="flat" cmpd="sng" algn="ctr">
              <a:solidFill>
                <a:srgbClr val="000099">
                  <a:alpha val="50000"/>
                </a:srgb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99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Income!$BT$11:$BX$11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Income!$BT$12:$BX$12</c:f>
              <c:numCache>
                <c:formatCode>#,##0_);[Red]\(#,##0\)</c:formatCode>
                <c:ptCount val="5"/>
                <c:pt idx="0">
                  <c:v>18.899999999999999</c:v>
                </c:pt>
                <c:pt idx="1">
                  <c:v>35</c:v>
                </c:pt>
                <c:pt idx="2">
                  <c:v>70</c:v>
                </c:pt>
                <c:pt idx="3">
                  <c:v>100.80000000000001</c:v>
                </c:pt>
                <c:pt idx="4">
                  <c:v>127.4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DB-4E32-A3C6-348CD30E01F1}"/>
            </c:ext>
          </c:extLst>
        </c:ser>
        <c:ser>
          <c:idx val="1"/>
          <c:order val="1"/>
          <c:tx>
            <c:strRef>
              <c:f>Income!$BS$13</c:f>
              <c:strCache>
                <c:ptCount val="1"/>
                <c:pt idx="0">
                  <c:v>Earnings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6350" cap="flat" cmpd="sng" algn="ctr">
              <a:solidFill>
                <a:srgbClr val="003300">
                  <a:alpha val="50000"/>
                </a:srgb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3300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Income!$BT$11:$BX$11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Income!$BT$13:$BX$13</c:f>
              <c:numCache>
                <c:formatCode>#,##0_);[Red]\(#,##0\)</c:formatCode>
                <c:ptCount val="5"/>
                <c:pt idx="0">
                  <c:v>6.277499999999999</c:v>
                </c:pt>
                <c:pt idx="1">
                  <c:v>11.625</c:v>
                </c:pt>
                <c:pt idx="2">
                  <c:v>23.25</c:v>
                </c:pt>
                <c:pt idx="3">
                  <c:v>33.480000000000004</c:v>
                </c:pt>
                <c:pt idx="4">
                  <c:v>42.314999999999998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DB-4E32-A3C6-348CD30E0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56896"/>
        <c:axId val="104658432"/>
      </c:barChart>
      <c:lineChart>
        <c:grouping val="standard"/>
        <c:varyColors val="0"/>
        <c:ser>
          <c:idx val="2"/>
          <c:order val="2"/>
          <c:tx>
            <c:strRef>
              <c:f>Income!$BS$14</c:f>
              <c:strCache>
                <c:ptCount val="1"/>
                <c:pt idx="0">
                  <c:v>Revenue</c:v>
                </c:pt>
              </c:strCache>
            </c:strRef>
          </c:tx>
          <c:spPr>
            <a:ln w="6350">
              <a:solidFill>
                <a:srgbClr val="C00000"/>
              </a:solidFill>
            </a:ln>
          </c:spPr>
          <c:marker>
            <c:symbol val="square"/>
            <c:size val="6"/>
            <c:spPr>
              <a:solidFill>
                <a:schemeClr val="accent6">
                  <a:lumMod val="60000"/>
                  <a:lumOff val="40000"/>
                </a:schemeClr>
              </a:solidFill>
              <a:ln w="6350">
                <a:solidFill>
                  <a:srgbClr val="C00000"/>
                </a:solidFill>
              </a:ln>
            </c:spPr>
          </c:marker>
          <c:dLbls>
            <c:spPr>
              <a:solidFill>
                <a:schemeClr val="accent6">
                  <a:lumMod val="60000"/>
                  <a:lumOff val="40000"/>
                </a:schemeClr>
              </a:solidFill>
              <a:ln w="6350" cap="flat" cmpd="sng" algn="ctr">
                <a:solidFill>
                  <a:srgbClr val="C00000">
                    <a:alpha val="50000"/>
                  </a:srgb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txPr>
              <a:bodyPr/>
              <a:lstStyle/>
              <a:p>
                <a:pPr>
                  <a:defRPr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Income!$BT$11:$BX$11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Income!$BT$14:$BX$14</c:f>
              <c:numCache>
                <c:formatCode>#,##0_);[Red]\(#,##0\)</c:formatCode>
                <c:ptCount val="5"/>
                <c:pt idx="0">
                  <c:v>67.5</c:v>
                </c:pt>
                <c:pt idx="1">
                  <c:v>125</c:v>
                </c:pt>
                <c:pt idx="2">
                  <c:v>250</c:v>
                </c:pt>
                <c:pt idx="3">
                  <c:v>360</c:v>
                </c:pt>
                <c:pt idx="4">
                  <c:v>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6DB-4E32-A3C6-348CD30E0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914224"/>
        <c:axId val="509917832"/>
      </c:lineChart>
      <c:catAx>
        <c:axId val="104656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104658432"/>
        <c:crosses val="autoZero"/>
        <c:auto val="1"/>
        <c:lblAlgn val="ctr"/>
        <c:lblOffset val="100"/>
        <c:noMultiLvlLbl val="0"/>
      </c:catAx>
      <c:valAx>
        <c:axId val="104658432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 b="0">
                <a:solidFill>
                  <a:srgbClr val="000099"/>
                </a:solidFill>
              </a:defRPr>
            </a:pPr>
            <a:endParaRPr lang="en-US"/>
          </a:p>
        </c:txPr>
        <c:crossAx val="104656896"/>
        <c:crosses val="autoZero"/>
        <c:crossBetween val="between"/>
      </c:valAx>
      <c:valAx>
        <c:axId val="509917832"/>
        <c:scaling>
          <c:orientation val="minMax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noFill/>
          <a:ln w="9525">
            <a:solidFill>
              <a:srgbClr val="C00000"/>
            </a:solidFill>
          </a:ln>
        </c:spPr>
        <c:txPr>
          <a:bodyPr/>
          <a:lstStyle/>
          <a:p>
            <a:pPr>
              <a:defRPr b="0">
                <a:solidFill>
                  <a:srgbClr val="C00000"/>
                </a:solidFill>
              </a:defRPr>
            </a:pPr>
            <a:endParaRPr lang="en-US"/>
          </a:p>
        </c:txPr>
        <c:crossAx val="509914224"/>
        <c:crosses val="max"/>
        <c:crossBetween val="between"/>
      </c:valAx>
      <c:catAx>
        <c:axId val="509914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991783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1587112183664268"/>
          <c:y val="0.1063072324292797"/>
          <c:w val="0.16902503927097218"/>
          <c:h val="0.3940839245160651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0099"/>
                </a:solidFill>
              </a:defRPr>
            </a:pPr>
            <a:r>
              <a:rPr lang="en-US">
                <a:solidFill>
                  <a:srgbClr val="000099"/>
                </a:solidFill>
              </a:rPr>
              <a:t>Sales &amp; Marketing</a:t>
            </a:r>
            <a:r>
              <a:rPr lang="en-US" sz="1100" b="0">
                <a:solidFill>
                  <a:srgbClr val="000099"/>
                </a:solidFill>
              </a:rPr>
              <a:t> ($k)</a:t>
            </a:r>
          </a:p>
        </c:rich>
      </c:tx>
      <c:layout>
        <c:manualLayout>
          <c:xMode val="edge"/>
          <c:yMode val="edge"/>
          <c:x val="0.25706335003579101"/>
          <c:y val="2.777777777777777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42006680983059"/>
          <c:y val="0.12194827209098863"/>
          <c:w val="0.60131810228266924"/>
          <c:h val="0.704533573928258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Income!$BS$22</c:f>
              <c:strCache>
                <c:ptCount val="1"/>
                <c:pt idx="0">
                  <c:v>Cust. Acq. Cost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 cap="flat" cmpd="sng" algn="ctr">
              <a:solidFill>
                <a:srgbClr val="000099">
                  <a:alpha val="50000"/>
                </a:srgb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99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Income!$BT$21:$BX$21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Income!$BT$22:$BX$22</c:f>
              <c:numCache>
                <c:formatCode>#,##0_);[Red]\(#,##0\)</c:formatCode>
                <c:ptCount val="5"/>
                <c:pt idx="0">
                  <c:v>843.75</c:v>
                </c:pt>
                <c:pt idx="1">
                  <c:v>1250</c:v>
                </c:pt>
                <c:pt idx="2">
                  <c:v>1785.7142857142858</c:v>
                </c:pt>
                <c:pt idx="3">
                  <c:v>2000</c:v>
                </c:pt>
                <c:pt idx="4">
                  <c:v>1950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98-4A9D-96BD-EDBEB8C2BDD1}"/>
            </c:ext>
          </c:extLst>
        </c:ser>
        <c:ser>
          <c:idx val="1"/>
          <c:order val="1"/>
          <c:tx>
            <c:strRef>
              <c:f>Income!$BS$23</c:f>
              <c:strCache>
                <c:ptCount val="1"/>
                <c:pt idx="0">
                  <c:v>Proj. Acq. Cost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6350" cap="flat" cmpd="sng" algn="ctr">
              <a:solidFill>
                <a:srgbClr val="003300">
                  <a:alpha val="50000"/>
                </a:srgb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3300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Income!$BT$21:$BX$21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Income!$BT$23:$BX$23</c:f>
              <c:numCache>
                <c:formatCode>#,##0_);[Red]\(#,##0\)</c:formatCode>
                <c:ptCount val="5"/>
                <c:pt idx="0">
                  <c:v>675</c:v>
                </c:pt>
                <c:pt idx="1">
                  <c:v>750</c:v>
                </c:pt>
                <c:pt idx="2">
                  <c:v>750</c:v>
                </c:pt>
                <c:pt idx="3">
                  <c:v>900</c:v>
                </c:pt>
                <c:pt idx="4">
                  <c:v>1050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298-4A9D-96BD-EDBEB8C2B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56896"/>
        <c:axId val="104658432"/>
      </c:barChart>
      <c:lineChart>
        <c:grouping val="standard"/>
        <c:varyColors val="0"/>
        <c:ser>
          <c:idx val="2"/>
          <c:order val="2"/>
          <c:tx>
            <c:strRef>
              <c:f>Income!$BS$24</c:f>
              <c:strCache>
                <c:ptCount val="1"/>
                <c:pt idx="0">
                  <c:v>Proj GM Contrib.</c:v>
                </c:pt>
              </c:strCache>
            </c:strRef>
          </c:tx>
          <c:spPr>
            <a:ln w="6350">
              <a:solidFill>
                <a:srgbClr val="C00000"/>
              </a:solidFill>
            </a:ln>
          </c:spPr>
          <c:marker>
            <c:symbol val="square"/>
            <c:size val="6"/>
            <c:spPr>
              <a:solidFill>
                <a:schemeClr val="accent6">
                  <a:lumMod val="60000"/>
                  <a:lumOff val="40000"/>
                </a:schemeClr>
              </a:solidFill>
              <a:ln w="6350">
                <a:solidFill>
                  <a:srgbClr val="C00000"/>
                </a:solidFill>
              </a:ln>
            </c:spPr>
          </c:marker>
          <c:dLbls>
            <c:spPr>
              <a:solidFill>
                <a:schemeClr val="accent6">
                  <a:lumMod val="60000"/>
                  <a:lumOff val="40000"/>
                </a:schemeClr>
              </a:solidFill>
              <a:ln w="6350" cap="flat" cmpd="sng" algn="ctr">
                <a:solidFill>
                  <a:srgbClr val="C00000">
                    <a:alpha val="50000"/>
                  </a:srgb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txPr>
              <a:bodyPr/>
              <a:lstStyle/>
              <a:p>
                <a:pPr>
                  <a:defRPr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Income!$BT$21:$BX$21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Income!$BT$24:$BX$24</c:f>
              <c:numCache>
                <c:formatCode>#,##0_);[Red]\(#,##0\)</c:formatCode>
                <c:ptCount val="5"/>
                <c:pt idx="0">
                  <c:v>3825</c:v>
                </c:pt>
                <c:pt idx="1">
                  <c:v>4250</c:v>
                </c:pt>
                <c:pt idx="2">
                  <c:v>4250</c:v>
                </c:pt>
                <c:pt idx="3">
                  <c:v>5100</c:v>
                </c:pt>
                <c:pt idx="4">
                  <c:v>5950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298-4A9D-96BD-EDBEB8C2B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914224"/>
        <c:axId val="509917832"/>
      </c:lineChart>
      <c:catAx>
        <c:axId val="104656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104658432"/>
        <c:crosses val="autoZero"/>
        <c:auto val="1"/>
        <c:lblAlgn val="ctr"/>
        <c:lblOffset val="100"/>
        <c:noMultiLvlLbl val="0"/>
      </c:catAx>
      <c:valAx>
        <c:axId val="104658432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 b="0">
                <a:solidFill>
                  <a:srgbClr val="000099"/>
                </a:solidFill>
              </a:defRPr>
            </a:pPr>
            <a:endParaRPr lang="en-US"/>
          </a:p>
        </c:txPr>
        <c:crossAx val="104656896"/>
        <c:crosses val="autoZero"/>
        <c:crossBetween val="between"/>
      </c:valAx>
      <c:valAx>
        <c:axId val="509917832"/>
        <c:scaling>
          <c:orientation val="minMax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noFill/>
          <a:ln w="9525">
            <a:solidFill>
              <a:srgbClr val="C00000"/>
            </a:solidFill>
          </a:ln>
        </c:spPr>
        <c:txPr>
          <a:bodyPr/>
          <a:lstStyle/>
          <a:p>
            <a:pPr>
              <a:defRPr b="0">
                <a:solidFill>
                  <a:srgbClr val="C00000"/>
                </a:solidFill>
              </a:defRPr>
            </a:pPr>
            <a:endParaRPr lang="en-US"/>
          </a:p>
        </c:txPr>
        <c:crossAx val="509914224"/>
        <c:crosses val="max"/>
        <c:crossBetween val="between"/>
      </c:valAx>
      <c:catAx>
        <c:axId val="509914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991783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1587111270182144"/>
          <c:y val="6.4640748031496054E-2"/>
          <c:w val="0.16902503927097218"/>
          <c:h val="0.6534317585301837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260" b="1" i="0" u="none" strike="noStrike" kern="1200" spc="0" baseline="0">
                <a:solidFill>
                  <a:srgbClr val="000099"/>
                </a:solidFill>
                <a:latin typeface="+mn-lt"/>
                <a:ea typeface="+mn-ea"/>
                <a:cs typeface="+mn-cs"/>
              </a:defRPr>
            </a:pPr>
            <a:r>
              <a:rPr lang="en-US" sz="1260" b="1" i="0" u="none" strike="noStrike" kern="1200" baseline="0">
                <a:solidFill>
                  <a:srgbClr val="000099"/>
                </a:solidFill>
                <a:latin typeface="+mn-lt"/>
                <a:ea typeface="+mn-ea"/>
                <a:cs typeface="+mn-cs"/>
              </a:rPr>
              <a:t>Ownership</a:t>
            </a:r>
          </a:p>
        </c:rich>
      </c:tx>
      <c:layout>
        <c:manualLayout>
          <c:xMode val="edge"/>
          <c:yMode val="edge"/>
          <c:x val="0.32452020202020204"/>
          <c:y val="4.166666666666666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260" b="1" i="0" u="none" strike="noStrike" kern="1200" spc="0" baseline="0">
              <a:solidFill>
                <a:srgbClr val="000099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1102468898704731E-2"/>
          <c:y val="0.20643591426071739"/>
          <c:w val="0.76262864869164071"/>
          <c:h val="0.6061570428696411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Income!$BS$44</c:f>
              <c:strCache>
                <c:ptCount val="1"/>
                <c:pt idx="0">
                  <c:v>Mgmt Shares</c:v>
                </c:pt>
              </c:strCache>
            </c:strRef>
          </c:tx>
          <c:spPr>
            <a:solidFill>
              <a:srgbClr val="000099"/>
            </a:solidFill>
            <a:ln>
              <a:solidFill>
                <a:srgbClr val="0070C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0099"/>
              </a:solidFill>
              <a:ln w="6350">
                <a:solidFill>
                  <a:srgbClr val="00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E8A-49BA-8A73-A255E102E9FD}"/>
              </c:ext>
            </c:extLst>
          </c:dPt>
          <c:dPt>
            <c:idx val="1"/>
            <c:invertIfNegative val="0"/>
            <c:bubble3D val="0"/>
            <c:spPr>
              <a:solidFill>
                <a:srgbClr val="003300"/>
              </a:solidFill>
              <a:ln w="6350">
                <a:solidFill>
                  <a:srgbClr val="0033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EE8A-49BA-8A73-A255E102E9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Income!$BT$43:$BU$43</c:f>
              <c:strCache>
                <c:ptCount val="2"/>
                <c:pt idx="0">
                  <c:v># Shares</c:v>
                </c:pt>
                <c:pt idx="1">
                  <c:v>Post-$ Val'n ($k)</c:v>
                </c:pt>
              </c:strCache>
            </c:strRef>
          </c:cat>
          <c:val>
            <c:numRef>
              <c:f>Income!$BT$44:$BU$44</c:f>
              <c:numCache>
                <c:formatCode>"$"#,##0_);[Red]\("$"#,##0\)</c:formatCode>
                <c:ptCount val="2"/>
                <c:pt idx="0" formatCode="#,##0_);[Red]\(#,##0\)">
                  <c:v>1500</c:v>
                </c:pt>
                <c:pt idx="1">
                  <c:v>131.25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BB-421F-9DEE-47D4B26BF717}"/>
            </c:ext>
          </c:extLst>
        </c:ser>
        <c:ser>
          <c:idx val="1"/>
          <c:order val="1"/>
          <c:tx>
            <c:strRef>
              <c:f>Income!$BS$45</c:f>
              <c:strCache>
                <c:ptCount val="1"/>
                <c:pt idx="0">
                  <c:v>Mgmt Options</c:v>
                </c:pt>
              </c:strCache>
            </c:strRef>
          </c:tx>
          <c:spPr>
            <a:solidFill>
              <a:srgbClr val="0070C0"/>
            </a:solidFill>
            <a:ln w="6350">
              <a:solidFill>
                <a:srgbClr val="0033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  <a:ln w="6350">
                <a:solidFill>
                  <a:srgbClr val="00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E8A-49BA-8A73-A255E102E9FD}"/>
              </c:ext>
            </c:extLst>
          </c:dPt>
          <c:dPt>
            <c:idx val="1"/>
            <c:invertIfNegative val="0"/>
            <c:bubble3D val="0"/>
            <c:spPr>
              <a:solidFill>
                <a:srgbClr val="006600"/>
              </a:solidFill>
              <a:ln w="6350">
                <a:solidFill>
                  <a:srgbClr val="0033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E8A-49BA-8A73-A255E102E9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Income!$BT$43:$BU$43</c:f>
              <c:strCache>
                <c:ptCount val="2"/>
                <c:pt idx="0">
                  <c:v># Shares</c:v>
                </c:pt>
                <c:pt idx="1">
                  <c:v>Post-$ Val'n ($k)</c:v>
                </c:pt>
              </c:strCache>
            </c:strRef>
          </c:cat>
          <c:val>
            <c:numRef>
              <c:f>Income!$BT$45:$BU$45</c:f>
              <c:numCache>
                <c:formatCode>"$"#,##0_);[Red]\("$"#,##0\)</c:formatCode>
                <c:ptCount val="2"/>
                <c:pt idx="0" formatCode="#,##0_);[Red]\(#,##0\)">
                  <c:v>2000</c:v>
                </c:pt>
                <c:pt idx="1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BB-421F-9DEE-47D4B26BF717}"/>
            </c:ext>
          </c:extLst>
        </c:ser>
        <c:ser>
          <c:idx val="2"/>
          <c:order val="2"/>
          <c:tx>
            <c:strRef>
              <c:f>Income!$BS$46</c:f>
              <c:strCache>
                <c:ptCount val="1"/>
                <c:pt idx="0">
                  <c:v>Add'l Shares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rgbClr val="0033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 w="6350">
                <a:solidFill>
                  <a:srgbClr val="00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E8A-49BA-8A73-A255E102E9FD}"/>
              </c:ext>
            </c:extLst>
          </c:dPt>
          <c:dPt>
            <c:idx val="1"/>
            <c:invertIfNegative val="0"/>
            <c:bubble3D val="0"/>
            <c:spPr>
              <a:solidFill>
                <a:srgbClr val="00B050"/>
              </a:solidFill>
              <a:ln w="6350">
                <a:solidFill>
                  <a:srgbClr val="0033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E8A-49BA-8A73-A255E102E9F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E8A-49BA-8A73-A255E102E9F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0033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E8A-49BA-8A73-A255E102E9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99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Income!$BT$43:$BU$43</c:f>
              <c:strCache>
                <c:ptCount val="2"/>
                <c:pt idx="0">
                  <c:v># Shares</c:v>
                </c:pt>
                <c:pt idx="1">
                  <c:v>Post-$ Val'n ($k)</c:v>
                </c:pt>
              </c:strCache>
            </c:strRef>
          </c:cat>
          <c:val>
            <c:numRef>
              <c:f>Income!$BT$46:$BU$46</c:f>
              <c:numCache>
                <c:formatCode>"$"#,##0_);[Red]\("$"#,##0\)</c:formatCode>
                <c:ptCount val="2"/>
                <c:pt idx="0" formatCode="#,##0_);[Red]\(#,##0\)">
                  <c:v>3000</c:v>
                </c:pt>
                <c:pt idx="1">
                  <c:v>262.5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10-44EE-894D-3F231F7D045A}"/>
            </c:ext>
          </c:extLst>
        </c:ser>
        <c:ser>
          <c:idx val="3"/>
          <c:order val="3"/>
          <c:tx>
            <c:strRef>
              <c:f>Income!$BS$47</c:f>
              <c:strCache>
                <c:ptCount val="1"/>
                <c:pt idx="0">
                  <c:v>Series A Pref'd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rgbClr val="0070C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E8A-49BA-8A73-A255E102E9FD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 w="6350">
                <a:solidFill>
                  <a:srgbClr val="0033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E8A-49BA-8A73-A255E102E9FD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0033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E8A-49BA-8A73-A255E102E9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99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Income!$BT$43:$BU$43</c:f>
              <c:strCache>
                <c:ptCount val="2"/>
                <c:pt idx="0">
                  <c:v># Shares</c:v>
                </c:pt>
                <c:pt idx="1">
                  <c:v>Post-$ Val'n ($k)</c:v>
                </c:pt>
              </c:strCache>
            </c:strRef>
          </c:cat>
          <c:val>
            <c:numRef>
              <c:f>Income!$BT$47:$BU$47</c:f>
              <c:numCache>
                <c:formatCode>"$"#,##0_);[Red]\("$"#,##0\)</c:formatCode>
                <c:ptCount val="2"/>
                <c:pt idx="0" formatCode="#,##0_);[Red]\(#,##0\)">
                  <c:v>4000</c:v>
                </c:pt>
                <c:pt idx="1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10-44EE-894D-3F231F7D0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656896"/>
        <c:axId val="104658432"/>
      </c:barChart>
      <c:catAx>
        <c:axId val="104656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658432"/>
        <c:crosses val="autoZero"/>
        <c:auto val="1"/>
        <c:lblAlgn val="ctr"/>
        <c:lblOffset val="100"/>
        <c:noMultiLvlLbl val="0"/>
      </c:catAx>
      <c:valAx>
        <c:axId val="10465843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0465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722142686709617"/>
          <c:y val="0.23326662292213474"/>
          <c:w val="0.1921482541954983"/>
          <c:h val="0.524996411292288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000099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0099"/>
                </a:solidFill>
              </a:defRPr>
            </a:pPr>
            <a:r>
              <a:rPr lang="en-US">
                <a:solidFill>
                  <a:srgbClr val="000099"/>
                </a:solidFill>
              </a:rPr>
              <a:t>Equity Value</a:t>
            </a:r>
            <a:r>
              <a:rPr lang="en-US" sz="1100" b="0">
                <a:solidFill>
                  <a:srgbClr val="000099"/>
                </a:solidFill>
              </a:rPr>
              <a:t> ($k)</a:t>
            </a:r>
            <a:endParaRPr lang="en-US">
              <a:solidFill>
                <a:srgbClr val="000099"/>
              </a:solidFill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812932474349797"/>
          <c:y val="9.5324803149606285E-2"/>
          <c:w val="0.85784876322277892"/>
          <c:h val="0.560774825021872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Income!$BS$32</c:f>
              <c:strCache>
                <c:ptCount val="1"/>
                <c:pt idx="0">
                  <c:v>Pre-$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6350" cap="flat" cmpd="sng" algn="ctr">
              <a:solidFill>
                <a:srgbClr val="C00000">
                  <a:alpha val="50000"/>
                </a:srgb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Pt>
            <c:idx val="1"/>
            <c:invertIfNegative val="0"/>
            <c:bubble3D val="0"/>
            <c:spPr>
              <a:noFill/>
              <a:ln w="6350" cap="flat" cmpd="sng" algn="ctr">
                <a:noFill/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19D5-426A-9594-44E0FEA86809}"/>
              </c:ext>
            </c:extLst>
          </c:dPt>
          <c:dPt>
            <c:idx val="2"/>
            <c:invertIfNegative val="0"/>
            <c:bubble3D val="0"/>
            <c:spPr>
              <a:noFill/>
              <a:ln w="6350" cap="flat" cmpd="sng" algn="ctr">
                <a:noFill/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9D5-426A-9594-44E0FEA86809}"/>
              </c:ext>
            </c:extLst>
          </c:dPt>
          <c:dPt>
            <c:idx val="4"/>
            <c:invertIfNegative val="0"/>
            <c:bubble3D val="0"/>
            <c:spPr>
              <a:noFill/>
              <a:ln w="6350" cap="flat" cmpd="sng" algn="ctr">
                <a:noFill/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19D5-426A-9594-44E0FEA86809}"/>
              </c:ext>
            </c:extLst>
          </c:dPt>
          <c:dPt>
            <c:idx val="5"/>
            <c:invertIfNegative val="0"/>
            <c:bubble3D val="0"/>
            <c:spPr>
              <a:noFill/>
              <a:ln w="6350" cap="flat" cmpd="sng" algn="ctr">
                <a:noFill/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19D5-426A-9594-44E0FEA86809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9D5-426A-9594-44E0FEA8680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D5-426A-9594-44E0FEA8680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9D5-426A-9594-44E0FEA868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9D5-426A-9594-44E0FEA868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Income!$BT$31:$BY$31</c:f>
              <c:strCache>
                <c:ptCount val="5"/>
                <c:pt idx="1">
                  <c:v>DCF Valuation</c:v>
                </c:pt>
                <c:pt idx="4">
                  <c:v>Capitalization</c:v>
                </c:pt>
              </c:strCache>
            </c:strRef>
          </c:cat>
          <c:val>
            <c:numRef>
              <c:f>Income!$BT$32:$BY$32</c:f>
              <c:numCache>
                <c:formatCode>#,##0_);[Red]\(#,##0\)</c:formatCode>
                <c:ptCount val="6"/>
                <c:pt idx="0">
                  <c:v>383.79620829140833</c:v>
                </c:pt>
                <c:pt idx="1">
                  <c:v>383.79620829140833</c:v>
                </c:pt>
                <c:pt idx="2">
                  <c:v>383.79620829140833</c:v>
                </c:pt>
                <c:pt idx="3">
                  <c:v>568.75</c:v>
                </c:pt>
                <c:pt idx="4">
                  <c:v>568.75</c:v>
                </c:pt>
                <c:pt idx="5">
                  <c:v>568.75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BB-421F-9DEE-47D4B26BF717}"/>
            </c:ext>
          </c:extLst>
        </c:ser>
        <c:ser>
          <c:idx val="1"/>
          <c:order val="1"/>
          <c:tx>
            <c:strRef>
              <c:f>Income!$BS$33</c:f>
              <c:strCache>
                <c:ptCount val="1"/>
                <c:pt idx="0">
                  <c:v>Debt / Raise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 cap="flat" cmpd="sng" algn="ctr">
              <a:solidFill>
                <a:srgbClr val="000099">
                  <a:alpha val="50000"/>
                </a:srgb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Pt>
            <c:idx val="2"/>
            <c:invertIfNegative val="0"/>
            <c:bubble3D val="0"/>
            <c:spPr>
              <a:noFill/>
              <a:ln w="6350" cap="flat" cmpd="sng" algn="ctr">
                <a:noFill/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19D5-426A-9594-44E0FEA86809}"/>
              </c:ext>
            </c:extLst>
          </c:dPt>
          <c:dPt>
            <c:idx val="5"/>
            <c:invertIfNegative val="0"/>
            <c:bubble3D val="0"/>
            <c:spPr>
              <a:noFill/>
              <a:ln w="6350" cap="flat" cmpd="sng" algn="ctr">
                <a:noFill/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19D5-426A-9594-44E0FEA8680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D5-426A-9594-44E0FEA8680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9D5-426A-9594-44E0FEA8680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9D5-426A-9594-44E0FEA868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9D5-426A-9594-44E0FEA868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>
                    <a:solidFill>
                      <a:srgbClr val="000099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Income!$BT$31:$BY$31</c:f>
              <c:strCache>
                <c:ptCount val="5"/>
                <c:pt idx="1">
                  <c:v>DCF Valuation</c:v>
                </c:pt>
                <c:pt idx="4">
                  <c:v>Capitalization</c:v>
                </c:pt>
              </c:strCache>
            </c:strRef>
          </c:cat>
          <c:val>
            <c:numRef>
              <c:f>Income!$BT$33:$BY$33</c:f>
              <c:numCache>
                <c:formatCode>#,##0_);[Red]\(#,##0\)</c:formatCode>
                <c:ptCount val="6"/>
                <c:pt idx="0">
                  <c:v>0</c:v>
                </c:pt>
                <c:pt idx="1">
                  <c:v>112.5</c:v>
                </c:pt>
                <c:pt idx="2">
                  <c:v>112.5</c:v>
                </c:pt>
                <c:pt idx="3">
                  <c:v>0</c:v>
                </c:pt>
                <c:pt idx="4">
                  <c:v>350</c:v>
                </c:pt>
                <c:pt idx="5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BB-421F-9DEE-47D4B26BF717}"/>
            </c:ext>
          </c:extLst>
        </c:ser>
        <c:ser>
          <c:idx val="2"/>
          <c:order val="2"/>
          <c:tx>
            <c:strRef>
              <c:f>Income!$BS$34</c:f>
              <c:strCache>
                <c:ptCount val="1"/>
                <c:pt idx="0">
                  <c:v>∑FCF / Post-$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6350">
              <a:solidFill>
                <a:srgbClr val="003300">
                  <a:alpha val="50000"/>
                </a:srgbClr>
              </a:solidFill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9D5-426A-9594-44E0FEA8680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9D5-426A-9594-44E0FEA8680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9D5-426A-9594-44E0FEA8680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9D5-426A-9594-44E0FEA868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33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Income!$BT$31:$BY$31</c:f>
              <c:strCache>
                <c:ptCount val="5"/>
                <c:pt idx="1">
                  <c:v>DCF Valuation</c:v>
                </c:pt>
                <c:pt idx="4">
                  <c:v>Capitalization</c:v>
                </c:pt>
              </c:strCache>
            </c:strRef>
          </c:cat>
          <c:val>
            <c:numRef>
              <c:f>Income!$BT$34:$BY$34</c:f>
              <c:numCache>
                <c:formatCode>#,##0_);[Red]\(#,##0\)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496.29620829140833</c:v>
                </c:pt>
                <c:pt idx="3">
                  <c:v>0</c:v>
                </c:pt>
                <c:pt idx="4">
                  <c:v>0</c:v>
                </c:pt>
                <c:pt idx="5">
                  <c:v>918.75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D5-426A-9594-44E0FEA86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overlap val="100"/>
        <c:axId val="104656896"/>
        <c:axId val="104658432"/>
      </c:barChart>
      <c:catAx>
        <c:axId val="104656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104658432"/>
        <c:crosses val="autoZero"/>
        <c:auto val="1"/>
        <c:lblAlgn val="ctr"/>
        <c:lblOffset val="100"/>
        <c:noMultiLvlLbl val="0"/>
      </c:catAx>
      <c:valAx>
        <c:axId val="104658432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0">
                <a:solidFill>
                  <a:sysClr val="windowText" lastClr="000000"/>
                </a:solidFill>
              </a:defRPr>
            </a:pPr>
            <a:endParaRPr lang="en-US"/>
          </a:p>
        </c:txPr>
        <c:crossAx val="1046568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0099"/>
                </a:solidFill>
              </a:defRPr>
            </a:pPr>
            <a:r>
              <a:rPr lang="en-US">
                <a:solidFill>
                  <a:srgbClr val="000099"/>
                </a:solidFill>
              </a:rPr>
              <a:t>Return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463672154617038E-2"/>
          <c:y val="0.14852661672868986"/>
          <c:w val="0.79631094408653469"/>
          <c:h val="0.56195602324557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Income!$BT$56</c:f>
              <c:strCache>
                <c:ptCount val="1"/>
                <c:pt idx="0">
                  <c:v>Cumulative FCF ($k)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 cap="flat" cmpd="sng" algn="ctr">
              <a:solidFill>
                <a:srgbClr val="000099">
                  <a:alpha val="50000"/>
                </a:srgb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99"/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Income!$BS$57:$BS$61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Income!$BT$57:$BT$61</c:f>
              <c:numCache>
                <c:formatCode>#,##0_);[Red]\(#,##0\)</c:formatCode>
                <c:ptCount val="5"/>
                <c:pt idx="0">
                  <c:v>-344.54007018736752</c:v>
                </c:pt>
                <c:pt idx="1">
                  <c:v>-334.79007018736752</c:v>
                </c:pt>
                <c:pt idx="2">
                  <c:v>-265.29007018736752</c:v>
                </c:pt>
                <c:pt idx="3">
                  <c:v>-170.8100701873675</c:v>
                </c:pt>
                <c:pt idx="4">
                  <c:v>-56.120070187367503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4-43D0-BB90-DD7A5EEC5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56896"/>
        <c:axId val="104658432"/>
      </c:barChart>
      <c:lineChart>
        <c:grouping val="standard"/>
        <c:varyColors val="0"/>
        <c:ser>
          <c:idx val="1"/>
          <c:order val="1"/>
          <c:tx>
            <c:strRef>
              <c:f>Income!$BU$56</c:f>
              <c:strCache>
                <c:ptCount val="1"/>
                <c:pt idx="0">
                  <c:v>IRR %</c:v>
                </c:pt>
              </c:strCache>
            </c:strRef>
          </c:tx>
          <c:spPr>
            <a:ln w="6350" cap="flat" cmpd="sng" algn="ctr">
              <a:solidFill>
                <a:srgbClr val="003300"/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square"/>
            <c:size val="6"/>
            <c:spPr>
              <a:solidFill>
                <a:schemeClr val="accent3">
                  <a:lumMod val="60000"/>
                  <a:lumOff val="40000"/>
                </a:schemeClr>
              </a:solidFill>
              <a:ln w="6350">
                <a:solidFill>
                  <a:srgbClr val="006600"/>
                </a:solidFill>
              </a:ln>
            </c:spPr>
          </c:marker>
          <c:dLbls>
            <c:spPr>
              <a:solidFill>
                <a:schemeClr val="accent3">
                  <a:lumMod val="60000"/>
                  <a:lumOff val="40000"/>
                </a:schemeClr>
              </a:solidFill>
              <a:ln w="6350">
                <a:solidFill>
                  <a:srgbClr val="003300"/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000099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Income!$BS$57:$BS$61</c:f>
              <c:strCache>
                <c:ptCount val="5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Income!$BU$57:$BU$61</c:f>
              <c:numCache>
                <c:formatCode>0%;[Red]\-0%</c:formatCode>
                <c:ptCount val="5"/>
                <c:pt idx="0">
                  <c:v>-0.98440020053533583</c:v>
                </c:pt>
                <c:pt idx="1">
                  <c:v>-0.82511335245989792</c:v>
                </c:pt>
                <c:pt idx="2">
                  <c:v>-0.39529520856202505</c:v>
                </c:pt>
                <c:pt idx="3">
                  <c:v>-0.17589839535994589</c:v>
                </c:pt>
                <c:pt idx="4">
                  <c:v>-4.2218751408442223E-2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84-43D0-BB90-DD7A5EEC5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709752"/>
        <c:axId val="528298088"/>
      </c:lineChart>
      <c:catAx>
        <c:axId val="104656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b="0"/>
            </a:pPr>
            <a:endParaRPr lang="en-US"/>
          </a:p>
        </c:txPr>
        <c:crossAx val="104658432"/>
        <c:crosses val="autoZero"/>
        <c:auto val="1"/>
        <c:lblAlgn val="ctr"/>
        <c:lblOffset val="100"/>
        <c:noMultiLvlLbl val="0"/>
      </c:catAx>
      <c:valAx>
        <c:axId val="104658432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9525">
            <a:solidFill>
              <a:srgbClr val="0000FF"/>
            </a:solidFill>
          </a:ln>
        </c:spPr>
        <c:txPr>
          <a:bodyPr/>
          <a:lstStyle/>
          <a:p>
            <a:pPr>
              <a:defRPr b="0">
                <a:solidFill>
                  <a:srgbClr val="0000FF"/>
                </a:solidFill>
              </a:defRPr>
            </a:pPr>
            <a:endParaRPr lang="en-US"/>
          </a:p>
        </c:txPr>
        <c:crossAx val="104656896"/>
        <c:crosses val="autoZero"/>
        <c:crossBetween val="between"/>
      </c:valAx>
      <c:valAx>
        <c:axId val="528298088"/>
        <c:scaling>
          <c:orientation val="minMax"/>
        </c:scaling>
        <c:delete val="0"/>
        <c:axPos val="r"/>
        <c:numFmt formatCode="0%;[Red]\-0%" sourceLinked="1"/>
        <c:majorTickMark val="out"/>
        <c:minorTickMark val="none"/>
        <c:tickLblPos val="nextTo"/>
        <c:spPr>
          <a:ln w="9525">
            <a:solidFill>
              <a:srgbClr val="006600"/>
            </a:solidFill>
          </a:ln>
        </c:spPr>
        <c:txPr>
          <a:bodyPr/>
          <a:lstStyle/>
          <a:p>
            <a:pPr>
              <a:defRPr>
                <a:solidFill>
                  <a:srgbClr val="006600"/>
                </a:solidFill>
              </a:defRPr>
            </a:pPr>
            <a:endParaRPr lang="en-US"/>
          </a:p>
        </c:txPr>
        <c:crossAx val="553709752"/>
        <c:crosses val="max"/>
        <c:crossBetween val="between"/>
      </c:valAx>
      <c:catAx>
        <c:axId val="553709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8298088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284284</xdr:colOff>
      <xdr:row>2</xdr:row>
      <xdr:rowOff>52652</xdr:rowOff>
    </xdr:from>
    <xdr:to>
      <xdr:col>78</xdr:col>
      <xdr:colOff>135059</xdr:colOff>
      <xdr:row>9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122FFFD-0CCB-47E9-AF88-D0D5403BB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69</xdr:col>
      <xdr:colOff>284284</xdr:colOff>
      <xdr:row>9</xdr:row>
      <xdr:rowOff>170794</xdr:rowOff>
    </xdr:from>
    <xdr:to>
      <xdr:col>78</xdr:col>
      <xdr:colOff>135059</xdr:colOff>
      <xdr:row>19</xdr:row>
      <xdr:rowOff>94594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B880E956-C90F-4E41-A43E-C004096E2E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69</xdr:col>
      <xdr:colOff>284284</xdr:colOff>
      <xdr:row>19</xdr:row>
      <xdr:rowOff>176223</xdr:rowOff>
    </xdr:from>
    <xdr:to>
      <xdr:col>78</xdr:col>
      <xdr:colOff>135059</xdr:colOff>
      <xdr:row>29</xdr:row>
      <xdr:rowOff>92086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FC20E312-1AAF-41B3-8DDC-4FE6B31A2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69</xdr:col>
      <xdr:colOff>284284</xdr:colOff>
      <xdr:row>41</xdr:row>
      <xdr:rowOff>177235</xdr:rowOff>
    </xdr:from>
    <xdr:to>
      <xdr:col>78</xdr:col>
      <xdr:colOff>106484</xdr:colOff>
      <xdr:row>51</xdr:row>
      <xdr:rowOff>85160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9E65AB19-E9E5-4DC6-AA13-58BCEBF399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69</xdr:col>
      <xdr:colOff>284284</xdr:colOff>
      <xdr:row>29</xdr:row>
      <xdr:rowOff>177227</xdr:rowOff>
    </xdr:from>
    <xdr:to>
      <xdr:col>78</xdr:col>
      <xdr:colOff>106484</xdr:colOff>
      <xdr:row>39</xdr:row>
      <xdr:rowOff>85152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610FAD7-9C80-465D-945E-FB2CFEEE33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69</xdr:col>
      <xdr:colOff>284284</xdr:colOff>
      <xdr:row>54</xdr:row>
      <xdr:rowOff>162374</xdr:rowOff>
    </xdr:from>
    <xdr:to>
      <xdr:col>78</xdr:col>
      <xdr:colOff>135059</xdr:colOff>
      <xdr:row>66</xdr:row>
      <xdr:rowOff>51884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D1396672-475A-4E84-96AB-6A5170F0B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FF"/>
  </sheetPr>
  <dimension ref="B1:DT65"/>
  <sheetViews>
    <sheetView showGridLines="0" tabSelected="1" zoomScaleNormal="100" workbookViewId="0">
      <pane xSplit="3" ySplit="2" topLeftCell="D3" activePane="bottomRight" state="frozen"/>
      <selection pane="topRight" activeCell="F1" sqref="F1"/>
      <selection pane="bottomLeft" activeCell="A3" sqref="A3"/>
      <selection pane="bottomRight"/>
    </sheetView>
  </sheetViews>
  <sheetFormatPr defaultRowHeight="15" outlineLevelCol="1" x14ac:dyDescent="0.25"/>
  <cols>
    <col min="1" max="1" width="1.140625" customWidth="1"/>
    <col min="2" max="2" width="24.7109375" customWidth="1"/>
    <col min="3" max="3" width="8.85546875" style="3" bestFit="1" customWidth="1"/>
    <col min="4" max="4" width="2.85546875" bestFit="1" customWidth="1"/>
    <col min="5" max="12" width="7" hidden="1" customWidth="1" outlineLevel="1"/>
    <col min="13" max="16" width="8" hidden="1" customWidth="1" outlineLevel="1"/>
    <col min="17" max="17" width="7" bestFit="1" customWidth="1" collapsed="1"/>
    <col min="18" max="18" width="6.42578125" hidden="1" customWidth="1" outlineLevel="1"/>
    <col min="19" max="26" width="6.28515625" hidden="1" customWidth="1" outlineLevel="1"/>
    <col min="27" max="29" width="6.42578125" hidden="1" customWidth="1" outlineLevel="1"/>
    <col min="30" max="30" width="7" bestFit="1" customWidth="1" collapsed="1"/>
    <col min="31" max="31" width="6.42578125" hidden="1" customWidth="1" outlineLevel="1"/>
    <col min="32" max="39" width="6.28515625" hidden="1" customWidth="1" outlineLevel="1"/>
    <col min="40" max="42" width="6.42578125" hidden="1" customWidth="1" outlineLevel="1"/>
    <col min="43" max="43" width="7" bestFit="1" customWidth="1" collapsed="1"/>
    <col min="44" max="44" width="6.42578125" hidden="1" customWidth="1" outlineLevel="1"/>
    <col min="45" max="52" width="6.28515625" hidden="1" customWidth="1" outlineLevel="1"/>
    <col min="53" max="55" width="6.42578125" hidden="1" customWidth="1" outlineLevel="1"/>
    <col min="56" max="56" width="7" bestFit="1" customWidth="1" collapsed="1"/>
    <col min="57" max="57" width="6.42578125" hidden="1" customWidth="1" outlineLevel="1"/>
    <col min="58" max="65" width="6.28515625" hidden="1" customWidth="1" outlineLevel="1"/>
    <col min="66" max="68" width="6.42578125" hidden="1" customWidth="1" outlineLevel="1"/>
    <col min="69" max="69" width="7" bestFit="1" customWidth="1" collapsed="1"/>
    <col min="70" max="70" width="4.28515625" customWidth="1"/>
    <col min="71" max="79" width="9.140625" customWidth="1"/>
  </cols>
  <sheetData>
    <row r="1" spans="2:77" s="1" customFormat="1" ht="17.25" thickTop="1" thickBot="1" x14ac:dyDescent="0.3">
      <c r="B1" s="15" t="s">
        <v>35</v>
      </c>
      <c r="C1" s="16"/>
      <c r="E1" s="5" t="s">
        <v>10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9"/>
      <c r="R1" s="5" t="s">
        <v>11</v>
      </c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9"/>
      <c r="AE1" s="5" t="s">
        <v>12</v>
      </c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9"/>
      <c r="AR1" s="5" t="s">
        <v>13</v>
      </c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9"/>
      <c r="BE1" s="5" t="s">
        <v>14</v>
      </c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9"/>
      <c r="BR1" s="56"/>
      <c r="BS1" s="119" t="s">
        <v>63</v>
      </c>
      <c r="BT1" s="120"/>
      <c r="BU1" s="120"/>
      <c r="BV1" s="120"/>
      <c r="BW1" s="121"/>
    </row>
    <row r="2" spans="2:77" s="1" customFormat="1" ht="15.75" thickBot="1" x14ac:dyDescent="0.3">
      <c r="B2" s="17" t="s">
        <v>36</v>
      </c>
      <c r="C2" s="18"/>
      <c r="E2" s="19" t="s">
        <v>37</v>
      </c>
      <c r="F2" s="19" t="s">
        <v>38</v>
      </c>
      <c r="G2" s="19" t="s">
        <v>39</v>
      </c>
      <c r="H2" s="19" t="s">
        <v>40</v>
      </c>
      <c r="I2" s="19" t="s">
        <v>41</v>
      </c>
      <c r="J2" s="19" t="s">
        <v>42</v>
      </c>
      <c r="K2" s="19" t="s">
        <v>43</v>
      </c>
      <c r="L2" s="19" t="s">
        <v>44</v>
      </c>
      <c r="M2" s="19" t="s">
        <v>45</v>
      </c>
      <c r="N2" s="19" t="s">
        <v>46</v>
      </c>
      <c r="O2" s="19" t="s">
        <v>47</v>
      </c>
      <c r="P2" s="19" t="s">
        <v>48</v>
      </c>
      <c r="Q2" s="92" t="s">
        <v>18</v>
      </c>
      <c r="R2" s="19" t="s">
        <v>37</v>
      </c>
      <c r="S2" s="19" t="s">
        <v>38</v>
      </c>
      <c r="T2" s="19" t="s">
        <v>39</v>
      </c>
      <c r="U2" s="19" t="s">
        <v>40</v>
      </c>
      <c r="V2" s="19" t="s">
        <v>41</v>
      </c>
      <c r="W2" s="19" t="s">
        <v>42</v>
      </c>
      <c r="X2" s="19" t="s">
        <v>43</v>
      </c>
      <c r="Y2" s="19" t="s">
        <v>44</v>
      </c>
      <c r="Z2" s="19" t="s">
        <v>45</v>
      </c>
      <c r="AA2" s="19" t="s">
        <v>46</v>
      </c>
      <c r="AB2" s="19" t="s">
        <v>47</v>
      </c>
      <c r="AC2" s="19" t="s">
        <v>48</v>
      </c>
      <c r="AD2" s="93" t="s">
        <v>30</v>
      </c>
      <c r="AE2" s="19" t="s">
        <v>37</v>
      </c>
      <c r="AF2" s="19" t="s">
        <v>38</v>
      </c>
      <c r="AG2" s="19" t="s">
        <v>39</v>
      </c>
      <c r="AH2" s="19" t="s">
        <v>40</v>
      </c>
      <c r="AI2" s="19" t="s">
        <v>41</v>
      </c>
      <c r="AJ2" s="19" t="s">
        <v>42</v>
      </c>
      <c r="AK2" s="19" t="s">
        <v>43</v>
      </c>
      <c r="AL2" s="19" t="s">
        <v>44</v>
      </c>
      <c r="AM2" s="19" t="s">
        <v>45</v>
      </c>
      <c r="AN2" s="19" t="s">
        <v>46</v>
      </c>
      <c r="AO2" s="19" t="s">
        <v>47</v>
      </c>
      <c r="AP2" s="19" t="s">
        <v>48</v>
      </c>
      <c r="AQ2" s="94" t="s">
        <v>31</v>
      </c>
      <c r="AR2" s="19" t="s">
        <v>37</v>
      </c>
      <c r="AS2" s="19" t="s">
        <v>38</v>
      </c>
      <c r="AT2" s="19" t="s">
        <v>39</v>
      </c>
      <c r="AU2" s="19" t="s">
        <v>40</v>
      </c>
      <c r="AV2" s="19" t="s">
        <v>41</v>
      </c>
      <c r="AW2" s="19" t="s">
        <v>42</v>
      </c>
      <c r="AX2" s="19" t="s">
        <v>43</v>
      </c>
      <c r="AY2" s="19" t="s">
        <v>44</v>
      </c>
      <c r="AZ2" s="19" t="s">
        <v>45</v>
      </c>
      <c r="BA2" s="19" t="s">
        <v>46</v>
      </c>
      <c r="BB2" s="19" t="s">
        <v>47</v>
      </c>
      <c r="BC2" s="19" t="s">
        <v>48</v>
      </c>
      <c r="BD2" s="95" t="s">
        <v>32</v>
      </c>
      <c r="BE2" s="19" t="s">
        <v>37</v>
      </c>
      <c r="BF2" s="19" t="s">
        <v>38</v>
      </c>
      <c r="BG2" s="19" t="s">
        <v>39</v>
      </c>
      <c r="BH2" s="19" t="s">
        <v>40</v>
      </c>
      <c r="BI2" s="19" t="s">
        <v>41</v>
      </c>
      <c r="BJ2" s="19" t="s">
        <v>42</v>
      </c>
      <c r="BK2" s="19" t="s">
        <v>43</v>
      </c>
      <c r="BL2" s="19" t="s">
        <v>44</v>
      </c>
      <c r="BM2" s="19" t="s">
        <v>45</v>
      </c>
      <c r="BN2" s="19" t="s">
        <v>46</v>
      </c>
      <c r="BO2" s="19" t="s">
        <v>47</v>
      </c>
      <c r="BP2" s="19" t="s">
        <v>48</v>
      </c>
      <c r="BQ2" s="96" t="s">
        <v>33</v>
      </c>
      <c r="BR2" s="57"/>
    </row>
    <row r="3" spans="2:77" ht="6" customHeight="1" thickTop="1" x14ac:dyDescent="0.25">
      <c r="B3" s="36"/>
      <c r="C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</row>
    <row r="4" spans="2:77" s="1" customFormat="1" x14ac:dyDescent="0.25">
      <c r="B4" s="12" t="s">
        <v>90</v>
      </c>
      <c r="C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21"/>
      <c r="R4" s="2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21"/>
      <c r="AE4" s="2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21"/>
      <c r="AR4" s="2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21"/>
      <c r="BE4" s="2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21"/>
      <c r="BS4" s="214"/>
      <c r="BT4" s="215" t="str">
        <f>PROPER($Q$2)</f>
        <v>Year 1</v>
      </c>
      <c r="BU4" s="215" t="str">
        <f>PROPER($AD$2)</f>
        <v>Year 2</v>
      </c>
      <c r="BV4" s="215" t="str">
        <f>PROPER($AQ$2)</f>
        <v>Year 3</v>
      </c>
      <c r="BW4" s="215" t="str">
        <f>PROPER($BD$2)</f>
        <v>Year 4</v>
      </c>
      <c r="BX4" s="216" t="str">
        <f>PROPER($BQ$2)</f>
        <v>Year 5</v>
      </c>
      <c r="BY4"/>
    </row>
    <row r="5" spans="2:77" x14ac:dyDescent="0.25">
      <c r="B5" s="11" t="s">
        <v>88</v>
      </c>
      <c r="E5" s="111">
        <f>ROUNDDOWN(Q5/12,0)</f>
        <v>1</v>
      </c>
      <c r="F5" s="112">
        <f>E5</f>
        <v>1</v>
      </c>
      <c r="G5" s="112">
        <f t="shared" ref="G5:O6" si="0">F5</f>
        <v>1</v>
      </c>
      <c r="H5" s="112">
        <f t="shared" si="0"/>
        <v>1</v>
      </c>
      <c r="I5" s="112">
        <f t="shared" si="0"/>
        <v>1</v>
      </c>
      <c r="J5" s="112">
        <f t="shared" si="0"/>
        <v>1</v>
      </c>
      <c r="K5" s="112">
        <f t="shared" si="0"/>
        <v>1</v>
      </c>
      <c r="L5" s="112">
        <f t="shared" si="0"/>
        <v>1</v>
      </c>
      <c r="M5" s="112">
        <f t="shared" si="0"/>
        <v>1</v>
      </c>
      <c r="N5" s="112">
        <f t="shared" si="0"/>
        <v>1</v>
      </c>
      <c r="O5" s="112">
        <f t="shared" si="0"/>
        <v>1</v>
      </c>
      <c r="P5" s="112">
        <f>Q5-SUM(E5:O5)</f>
        <v>1</v>
      </c>
      <c r="Q5" s="133">
        <v>12</v>
      </c>
      <c r="R5" s="111">
        <f>ROUNDDOWN(AD5/12,0)</f>
        <v>1</v>
      </c>
      <c r="S5" s="112">
        <f>R5</f>
        <v>1</v>
      </c>
      <c r="T5" s="112">
        <f t="shared" ref="T5:AB5" si="1">S5</f>
        <v>1</v>
      </c>
      <c r="U5" s="112">
        <f t="shared" si="1"/>
        <v>1</v>
      </c>
      <c r="V5" s="112">
        <f t="shared" si="1"/>
        <v>1</v>
      </c>
      <c r="W5" s="112">
        <f t="shared" si="1"/>
        <v>1</v>
      </c>
      <c r="X5" s="112">
        <f t="shared" si="1"/>
        <v>1</v>
      </c>
      <c r="Y5" s="112">
        <f t="shared" si="1"/>
        <v>1</v>
      </c>
      <c r="Z5" s="112">
        <f t="shared" si="1"/>
        <v>1</v>
      </c>
      <c r="AA5" s="112">
        <f t="shared" si="1"/>
        <v>1</v>
      </c>
      <c r="AB5" s="112">
        <f t="shared" si="1"/>
        <v>1</v>
      </c>
      <c r="AC5" s="113">
        <f>AD5-SUM(R5:AB5)</f>
        <v>4</v>
      </c>
      <c r="AD5" s="138">
        <v>15</v>
      </c>
      <c r="AE5" s="111">
        <f>ROUNDDOWN(AQ5/12,0)</f>
        <v>1</v>
      </c>
      <c r="AF5" s="112">
        <f>AE5</f>
        <v>1</v>
      </c>
      <c r="AG5" s="112">
        <f t="shared" ref="AG5:AO5" si="2">AF5</f>
        <v>1</v>
      </c>
      <c r="AH5" s="112">
        <f t="shared" si="2"/>
        <v>1</v>
      </c>
      <c r="AI5" s="112">
        <f t="shared" si="2"/>
        <v>1</v>
      </c>
      <c r="AJ5" s="112">
        <f t="shared" si="2"/>
        <v>1</v>
      </c>
      <c r="AK5" s="112">
        <f t="shared" si="2"/>
        <v>1</v>
      </c>
      <c r="AL5" s="112">
        <f t="shared" si="2"/>
        <v>1</v>
      </c>
      <c r="AM5" s="112">
        <f t="shared" si="2"/>
        <v>1</v>
      </c>
      <c r="AN5" s="112">
        <f t="shared" si="2"/>
        <v>1</v>
      </c>
      <c r="AO5" s="112">
        <f t="shared" si="2"/>
        <v>1</v>
      </c>
      <c r="AP5" s="113">
        <f>AQ5-SUM(AE5:AO5)</f>
        <v>10</v>
      </c>
      <c r="AQ5" s="138">
        <v>21</v>
      </c>
      <c r="AR5" s="111">
        <f>ROUNDDOWN(BD5/12,0)</f>
        <v>2</v>
      </c>
      <c r="AS5" s="112">
        <f>AR5</f>
        <v>2</v>
      </c>
      <c r="AT5" s="112">
        <f t="shared" ref="AT5:BB5" si="3">AS5</f>
        <v>2</v>
      </c>
      <c r="AU5" s="112">
        <f t="shared" si="3"/>
        <v>2</v>
      </c>
      <c r="AV5" s="112">
        <f t="shared" si="3"/>
        <v>2</v>
      </c>
      <c r="AW5" s="112">
        <f t="shared" si="3"/>
        <v>2</v>
      </c>
      <c r="AX5" s="112">
        <f t="shared" si="3"/>
        <v>2</v>
      </c>
      <c r="AY5" s="112">
        <f t="shared" si="3"/>
        <v>2</v>
      </c>
      <c r="AZ5" s="112">
        <f t="shared" si="3"/>
        <v>2</v>
      </c>
      <c r="BA5" s="112">
        <f t="shared" si="3"/>
        <v>2</v>
      </c>
      <c r="BB5" s="112">
        <f t="shared" si="3"/>
        <v>2</v>
      </c>
      <c r="BC5" s="113">
        <f>BD5-SUM(AR5:BB5)</f>
        <v>5</v>
      </c>
      <c r="BD5" s="138">
        <v>27</v>
      </c>
      <c r="BE5" s="111">
        <f>ROUNDDOWN(BQ5/12,0)</f>
        <v>2</v>
      </c>
      <c r="BF5" s="112">
        <f>BE5</f>
        <v>2</v>
      </c>
      <c r="BG5" s="112">
        <f t="shared" ref="BG5:BO5" si="4">BF5</f>
        <v>2</v>
      </c>
      <c r="BH5" s="112">
        <f t="shared" si="4"/>
        <v>2</v>
      </c>
      <c r="BI5" s="112">
        <f t="shared" si="4"/>
        <v>2</v>
      </c>
      <c r="BJ5" s="112">
        <f t="shared" si="4"/>
        <v>2</v>
      </c>
      <c r="BK5" s="112">
        <f t="shared" si="4"/>
        <v>2</v>
      </c>
      <c r="BL5" s="112">
        <f t="shared" si="4"/>
        <v>2</v>
      </c>
      <c r="BM5" s="112">
        <f t="shared" si="4"/>
        <v>2</v>
      </c>
      <c r="BN5" s="112">
        <f t="shared" si="4"/>
        <v>2</v>
      </c>
      <c r="BO5" s="112">
        <f t="shared" si="4"/>
        <v>2</v>
      </c>
      <c r="BP5" s="112">
        <f>BQ5-SUM(BE5:BO5)</f>
        <v>13</v>
      </c>
      <c r="BQ5" s="139">
        <v>35</v>
      </c>
      <c r="BS5" s="217" t="str">
        <f>B5</f>
        <v># Clients</v>
      </c>
      <c r="BT5" s="218">
        <f t="shared" ref="BT5:BT6" si="5">Q5</f>
        <v>12</v>
      </c>
      <c r="BU5" s="218">
        <f t="shared" ref="BU5:BU6" si="6">AD5</f>
        <v>15</v>
      </c>
      <c r="BV5" s="218">
        <f t="shared" ref="BV5:BV6" si="7">AQ5</f>
        <v>21</v>
      </c>
      <c r="BW5" s="218">
        <f t="shared" ref="BW5:BW6" si="8">BD5</f>
        <v>27</v>
      </c>
      <c r="BX5" s="219">
        <f t="shared" ref="BX5:BX6" si="9">BQ5</f>
        <v>35</v>
      </c>
    </row>
    <row r="6" spans="2:77" x14ac:dyDescent="0.25">
      <c r="B6" s="11" t="s">
        <v>89</v>
      </c>
      <c r="C6" s="186"/>
      <c r="E6" s="114">
        <f>ROUNDDOWN(Q6/12,0)</f>
        <v>1</v>
      </c>
      <c r="F6" s="115">
        <f>E6</f>
        <v>1</v>
      </c>
      <c r="G6" s="115">
        <f t="shared" si="0"/>
        <v>1</v>
      </c>
      <c r="H6" s="115">
        <f t="shared" si="0"/>
        <v>1</v>
      </c>
      <c r="I6" s="115">
        <f t="shared" si="0"/>
        <v>1</v>
      </c>
      <c r="J6" s="115">
        <f t="shared" si="0"/>
        <v>1</v>
      </c>
      <c r="K6" s="115">
        <f t="shared" si="0"/>
        <v>1</v>
      </c>
      <c r="L6" s="115">
        <f t="shared" si="0"/>
        <v>1</v>
      </c>
      <c r="M6" s="115">
        <f t="shared" si="0"/>
        <v>1</v>
      </c>
      <c r="N6" s="115">
        <f t="shared" si="0"/>
        <v>1</v>
      </c>
      <c r="O6" s="115">
        <f t="shared" si="0"/>
        <v>1</v>
      </c>
      <c r="P6" s="115">
        <f>Q6-SUM(E6:O6)</f>
        <v>4</v>
      </c>
      <c r="Q6" s="140">
        <v>15</v>
      </c>
      <c r="R6" s="114">
        <f>ROUNDDOWN(AD6/12,0)</f>
        <v>2</v>
      </c>
      <c r="S6" s="115">
        <f>R6</f>
        <v>2</v>
      </c>
      <c r="T6" s="115">
        <f t="shared" ref="T6:AB6" si="10">S6</f>
        <v>2</v>
      </c>
      <c r="U6" s="115">
        <f t="shared" si="10"/>
        <v>2</v>
      </c>
      <c r="V6" s="115">
        <f t="shared" si="10"/>
        <v>2</v>
      </c>
      <c r="W6" s="115">
        <f t="shared" si="10"/>
        <v>2</v>
      </c>
      <c r="X6" s="115">
        <f t="shared" si="10"/>
        <v>2</v>
      </c>
      <c r="Y6" s="115">
        <f t="shared" si="10"/>
        <v>2</v>
      </c>
      <c r="Z6" s="115">
        <f t="shared" si="10"/>
        <v>2</v>
      </c>
      <c r="AA6" s="115">
        <f t="shared" si="10"/>
        <v>2</v>
      </c>
      <c r="AB6" s="115">
        <f t="shared" si="10"/>
        <v>2</v>
      </c>
      <c r="AC6" s="116">
        <f>AD6-SUM(R6:AB6)</f>
        <v>3</v>
      </c>
      <c r="AD6" s="141">
        <v>25</v>
      </c>
      <c r="AE6" s="114">
        <f>ROUNDDOWN(AQ6/12,0)</f>
        <v>4</v>
      </c>
      <c r="AF6" s="115">
        <f>AE6</f>
        <v>4</v>
      </c>
      <c r="AG6" s="115">
        <f t="shared" ref="AG6:AO6" si="11">AF6</f>
        <v>4</v>
      </c>
      <c r="AH6" s="115">
        <f t="shared" si="11"/>
        <v>4</v>
      </c>
      <c r="AI6" s="115">
        <f t="shared" si="11"/>
        <v>4</v>
      </c>
      <c r="AJ6" s="115">
        <f t="shared" si="11"/>
        <v>4</v>
      </c>
      <c r="AK6" s="115">
        <f t="shared" si="11"/>
        <v>4</v>
      </c>
      <c r="AL6" s="115">
        <f t="shared" si="11"/>
        <v>4</v>
      </c>
      <c r="AM6" s="115">
        <f t="shared" si="11"/>
        <v>4</v>
      </c>
      <c r="AN6" s="115">
        <f t="shared" si="11"/>
        <v>4</v>
      </c>
      <c r="AO6" s="115">
        <f t="shared" si="11"/>
        <v>4</v>
      </c>
      <c r="AP6" s="116">
        <f>AQ6-SUM(AE6:AO6)</f>
        <v>6</v>
      </c>
      <c r="AQ6" s="141">
        <v>50</v>
      </c>
      <c r="AR6" s="114">
        <f>ROUNDDOWN(BD6/12,0)</f>
        <v>5</v>
      </c>
      <c r="AS6" s="115">
        <f>AR6</f>
        <v>5</v>
      </c>
      <c r="AT6" s="115">
        <f t="shared" ref="AT6:BB6" si="12">AS6</f>
        <v>5</v>
      </c>
      <c r="AU6" s="115">
        <f t="shared" si="12"/>
        <v>5</v>
      </c>
      <c r="AV6" s="115">
        <f t="shared" si="12"/>
        <v>5</v>
      </c>
      <c r="AW6" s="115">
        <f t="shared" si="12"/>
        <v>5</v>
      </c>
      <c r="AX6" s="115">
        <f t="shared" si="12"/>
        <v>5</v>
      </c>
      <c r="AY6" s="115">
        <f t="shared" si="12"/>
        <v>5</v>
      </c>
      <c r="AZ6" s="115">
        <f t="shared" si="12"/>
        <v>5</v>
      </c>
      <c r="BA6" s="115">
        <f t="shared" si="12"/>
        <v>5</v>
      </c>
      <c r="BB6" s="115">
        <f t="shared" si="12"/>
        <v>5</v>
      </c>
      <c r="BC6" s="116">
        <f>BD6-SUM(AR6:BB6)</f>
        <v>5</v>
      </c>
      <c r="BD6" s="141">
        <v>60</v>
      </c>
      <c r="BE6" s="114">
        <f>ROUNDDOWN(BQ6/12,0)</f>
        <v>5</v>
      </c>
      <c r="BF6" s="115">
        <f>BE6</f>
        <v>5</v>
      </c>
      <c r="BG6" s="115">
        <f t="shared" ref="BG6:BO6" si="13">BF6</f>
        <v>5</v>
      </c>
      <c r="BH6" s="115">
        <f t="shared" si="13"/>
        <v>5</v>
      </c>
      <c r="BI6" s="115">
        <f t="shared" si="13"/>
        <v>5</v>
      </c>
      <c r="BJ6" s="115">
        <f t="shared" si="13"/>
        <v>5</v>
      </c>
      <c r="BK6" s="115">
        <f t="shared" si="13"/>
        <v>5</v>
      </c>
      <c r="BL6" s="115">
        <f t="shared" si="13"/>
        <v>5</v>
      </c>
      <c r="BM6" s="115">
        <f t="shared" si="13"/>
        <v>5</v>
      </c>
      <c r="BN6" s="115">
        <f t="shared" si="13"/>
        <v>5</v>
      </c>
      <c r="BO6" s="115">
        <f t="shared" si="13"/>
        <v>5</v>
      </c>
      <c r="BP6" s="115">
        <f>BQ6-SUM(BE6:BO6)</f>
        <v>10</v>
      </c>
      <c r="BQ6" s="142">
        <v>65</v>
      </c>
      <c r="BS6" s="217" t="str">
        <f>B6</f>
        <v># Projects</v>
      </c>
      <c r="BT6" s="218">
        <f t="shared" si="5"/>
        <v>15</v>
      </c>
      <c r="BU6" s="218">
        <f t="shared" si="6"/>
        <v>25</v>
      </c>
      <c r="BV6" s="218">
        <f t="shared" si="7"/>
        <v>50</v>
      </c>
      <c r="BW6" s="218">
        <f t="shared" si="8"/>
        <v>60</v>
      </c>
      <c r="BX6" s="219">
        <f t="shared" si="9"/>
        <v>65</v>
      </c>
    </row>
    <row r="7" spans="2:77" x14ac:dyDescent="0.25">
      <c r="B7" s="36" t="s">
        <v>62</v>
      </c>
      <c r="C7" s="187"/>
      <c r="E7" s="131">
        <f>IFERROR(E6/E5,0)</f>
        <v>1</v>
      </c>
      <c r="F7" s="130">
        <f t="shared" ref="F7:BQ7" si="14">IFERROR(F6/F5,0)</f>
        <v>1</v>
      </c>
      <c r="G7" s="130">
        <f t="shared" si="14"/>
        <v>1</v>
      </c>
      <c r="H7" s="130">
        <f t="shared" si="14"/>
        <v>1</v>
      </c>
      <c r="I7" s="130">
        <f t="shared" si="14"/>
        <v>1</v>
      </c>
      <c r="J7" s="130">
        <f t="shared" si="14"/>
        <v>1</v>
      </c>
      <c r="K7" s="130">
        <f t="shared" si="14"/>
        <v>1</v>
      </c>
      <c r="L7" s="130">
        <f t="shared" si="14"/>
        <v>1</v>
      </c>
      <c r="M7" s="130">
        <f t="shared" si="14"/>
        <v>1</v>
      </c>
      <c r="N7" s="130">
        <f t="shared" si="14"/>
        <v>1</v>
      </c>
      <c r="O7" s="130">
        <f t="shared" si="14"/>
        <v>1</v>
      </c>
      <c r="P7" s="130">
        <f t="shared" si="14"/>
        <v>4</v>
      </c>
      <c r="Q7" s="135">
        <f t="shared" si="14"/>
        <v>1.25</v>
      </c>
      <c r="R7" s="131">
        <f t="shared" si="14"/>
        <v>2</v>
      </c>
      <c r="S7" s="130">
        <f t="shared" si="14"/>
        <v>2</v>
      </c>
      <c r="T7" s="130">
        <f t="shared" si="14"/>
        <v>2</v>
      </c>
      <c r="U7" s="130">
        <f t="shared" si="14"/>
        <v>2</v>
      </c>
      <c r="V7" s="130">
        <f t="shared" si="14"/>
        <v>2</v>
      </c>
      <c r="W7" s="130">
        <f t="shared" si="14"/>
        <v>2</v>
      </c>
      <c r="X7" s="130">
        <f t="shared" si="14"/>
        <v>2</v>
      </c>
      <c r="Y7" s="130">
        <f t="shared" si="14"/>
        <v>2</v>
      </c>
      <c r="Z7" s="130">
        <f t="shared" si="14"/>
        <v>2</v>
      </c>
      <c r="AA7" s="130">
        <f t="shared" si="14"/>
        <v>2</v>
      </c>
      <c r="AB7" s="130">
        <f t="shared" si="14"/>
        <v>2</v>
      </c>
      <c r="AC7" s="132">
        <f t="shared" si="14"/>
        <v>0.75</v>
      </c>
      <c r="AD7" s="134">
        <f t="shared" si="14"/>
        <v>1.6666666666666667</v>
      </c>
      <c r="AE7" s="131">
        <f t="shared" si="14"/>
        <v>4</v>
      </c>
      <c r="AF7" s="130">
        <f t="shared" si="14"/>
        <v>4</v>
      </c>
      <c r="AG7" s="130">
        <f t="shared" si="14"/>
        <v>4</v>
      </c>
      <c r="AH7" s="130">
        <f t="shared" si="14"/>
        <v>4</v>
      </c>
      <c r="AI7" s="130">
        <f t="shared" si="14"/>
        <v>4</v>
      </c>
      <c r="AJ7" s="130">
        <f t="shared" si="14"/>
        <v>4</v>
      </c>
      <c r="AK7" s="130">
        <f t="shared" si="14"/>
        <v>4</v>
      </c>
      <c r="AL7" s="130">
        <f t="shared" si="14"/>
        <v>4</v>
      </c>
      <c r="AM7" s="130">
        <f t="shared" si="14"/>
        <v>4</v>
      </c>
      <c r="AN7" s="130">
        <f t="shared" si="14"/>
        <v>4</v>
      </c>
      <c r="AO7" s="130">
        <f t="shared" si="14"/>
        <v>4</v>
      </c>
      <c r="AP7" s="132">
        <f t="shared" si="14"/>
        <v>0.6</v>
      </c>
      <c r="AQ7" s="136">
        <f t="shared" si="14"/>
        <v>2.3809523809523809</v>
      </c>
      <c r="AR7" s="131">
        <f t="shared" si="14"/>
        <v>2.5</v>
      </c>
      <c r="AS7" s="130">
        <f t="shared" si="14"/>
        <v>2.5</v>
      </c>
      <c r="AT7" s="130">
        <f t="shared" si="14"/>
        <v>2.5</v>
      </c>
      <c r="AU7" s="130">
        <f t="shared" si="14"/>
        <v>2.5</v>
      </c>
      <c r="AV7" s="130">
        <f t="shared" si="14"/>
        <v>2.5</v>
      </c>
      <c r="AW7" s="130">
        <f t="shared" si="14"/>
        <v>2.5</v>
      </c>
      <c r="AX7" s="130">
        <f t="shared" si="14"/>
        <v>2.5</v>
      </c>
      <c r="AY7" s="130">
        <f t="shared" si="14"/>
        <v>2.5</v>
      </c>
      <c r="AZ7" s="130">
        <f t="shared" si="14"/>
        <v>2.5</v>
      </c>
      <c r="BA7" s="130">
        <f t="shared" si="14"/>
        <v>2.5</v>
      </c>
      <c r="BB7" s="130">
        <f t="shared" si="14"/>
        <v>2.5</v>
      </c>
      <c r="BC7" s="132">
        <f t="shared" si="14"/>
        <v>1</v>
      </c>
      <c r="BD7" s="137">
        <f t="shared" si="14"/>
        <v>2.2222222222222223</v>
      </c>
      <c r="BE7" s="131">
        <f t="shared" si="14"/>
        <v>2.5</v>
      </c>
      <c r="BF7" s="130">
        <f t="shared" si="14"/>
        <v>2.5</v>
      </c>
      <c r="BG7" s="130">
        <f t="shared" si="14"/>
        <v>2.5</v>
      </c>
      <c r="BH7" s="130">
        <f t="shared" si="14"/>
        <v>2.5</v>
      </c>
      <c r="BI7" s="130">
        <f t="shared" si="14"/>
        <v>2.5</v>
      </c>
      <c r="BJ7" s="130">
        <f t="shared" si="14"/>
        <v>2.5</v>
      </c>
      <c r="BK7" s="130">
        <f t="shared" si="14"/>
        <v>2.5</v>
      </c>
      <c r="BL7" s="130">
        <f t="shared" si="14"/>
        <v>2.5</v>
      </c>
      <c r="BM7" s="130">
        <f t="shared" si="14"/>
        <v>2.5</v>
      </c>
      <c r="BN7" s="130">
        <f t="shared" si="14"/>
        <v>2.5</v>
      </c>
      <c r="BO7" s="130">
        <f t="shared" si="14"/>
        <v>2.5</v>
      </c>
      <c r="BP7" s="130">
        <f t="shared" si="14"/>
        <v>0.76923076923076927</v>
      </c>
      <c r="BQ7" s="129">
        <f t="shared" si="14"/>
        <v>1.8571428571428572</v>
      </c>
      <c r="BS7" s="220" t="s">
        <v>100</v>
      </c>
      <c r="BT7" s="221">
        <f>Q8</f>
        <v>4.5</v>
      </c>
      <c r="BU7" s="221">
        <f>AD8</f>
        <v>5</v>
      </c>
      <c r="BV7" s="221">
        <f>AQ8</f>
        <v>5</v>
      </c>
      <c r="BW7" s="221">
        <f>BD8</f>
        <v>6</v>
      </c>
      <c r="BX7" s="222">
        <f>BQ8</f>
        <v>7</v>
      </c>
    </row>
    <row r="8" spans="2:77" s="146" customFormat="1" x14ac:dyDescent="0.25">
      <c r="B8" s="145" t="s">
        <v>92</v>
      </c>
      <c r="C8" s="188"/>
      <c r="E8" s="127">
        <f>Q8</f>
        <v>4.5</v>
      </c>
      <c r="F8" s="128">
        <f>Q8</f>
        <v>4.5</v>
      </c>
      <c r="G8" s="128">
        <f>Q8</f>
        <v>4.5</v>
      </c>
      <c r="H8" s="128">
        <f>Q8</f>
        <v>4.5</v>
      </c>
      <c r="I8" s="128">
        <f>Q8</f>
        <v>4.5</v>
      </c>
      <c r="J8" s="128">
        <f>Q8</f>
        <v>4.5</v>
      </c>
      <c r="K8" s="128">
        <f>Q8</f>
        <v>4.5</v>
      </c>
      <c r="L8" s="128">
        <f>Q8</f>
        <v>4.5</v>
      </c>
      <c r="M8" s="128">
        <f>Q8</f>
        <v>4.5</v>
      </c>
      <c r="N8" s="128">
        <f>Q8</f>
        <v>4.5</v>
      </c>
      <c r="O8" s="128">
        <f>Q8</f>
        <v>4.5</v>
      </c>
      <c r="P8" s="128">
        <f>Q8</f>
        <v>4.5</v>
      </c>
      <c r="Q8" s="147">
        <v>4.5</v>
      </c>
      <c r="R8" s="148">
        <f>AD8</f>
        <v>5</v>
      </c>
      <c r="S8" s="149">
        <f>AD8</f>
        <v>5</v>
      </c>
      <c r="T8" s="149">
        <f>AD8</f>
        <v>5</v>
      </c>
      <c r="U8" s="149">
        <f>AD8</f>
        <v>5</v>
      </c>
      <c r="V8" s="149">
        <f>AD8</f>
        <v>5</v>
      </c>
      <c r="W8" s="149">
        <f>AD8</f>
        <v>5</v>
      </c>
      <c r="X8" s="149">
        <f>AD8</f>
        <v>5</v>
      </c>
      <c r="Y8" s="149">
        <f>AD8</f>
        <v>5</v>
      </c>
      <c r="Z8" s="149">
        <f>AD8</f>
        <v>5</v>
      </c>
      <c r="AA8" s="149">
        <f>AD8</f>
        <v>5</v>
      </c>
      <c r="AB8" s="149">
        <f>AD8</f>
        <v>5</v>
      </c>
      <c r="AC8" s="150">
        <f>AD8</f>
        <v>5</v>
      </c>
      <c r="AD8" s="151">
        <v>5</v>
      </c>
      <c r="AE8" s="148">
        <f>AQ8</f>
        <v>5</v>
      </c>
      <c r="AF8" s="149">
        <f>AQ8</f>
        <v>5</v>
      </c>
      <c r="AG8" s="149">
        <f>AQ8</f>
        <v>5</v>
      </c>
      <c r="AH8" s="149">
        <f>AQ8</f>
        <v>5</v>
      </c>
      <c r="AI8" s="149">
        <f>AQ8</f>
        <v>5</v>
      </c>
      <c r="AJ8" s="149">
        <f>AQ8</f>
        <v>5</v>
      </c>
      <c r="AK8" s="149">
        <f>AQ8</f>
        <v>5</v>
      </c>
      <c r="AL8" s="149">
        <f>AQ8</f>
        <v>5</v>
      </c>
      <c r="AM8" s="149">
        <f>AQ8</f>
        <v>5</v>
      </c>
      <c r="AN8" s="149">
        <f>AQ8</f>
        <v>5</v>
      </c>
      <c r="AO8" s="149">
        <f>AQ8</f>
        <v>5</v>
      </c>
      <c r="AP8" s="150">
        <f>AQ8</f>
        <v>5</v>
      </c>
      <c r="AQ8" s="151">
        <v>5</v>
      </c>
      <c r="AR8" s="148">
        <f>BD8</f>
        <v>6</v>
      </c>
      <c r="AS8" s="149">
        <f>BD8</f>
        <v>6</v>
      </c>
      <c r="AT8" s="149">
        <f>BD8</f>
        <v>6</v>
      </c>
      <c r="AU8" s="149">
        <f>BD8</f>
        <v>6</v>
      </c>
      <c r="AV8" s="149">
        <f>BD8</f>
        <v>6</v>
      </c>
      <c r="AW8" s="149">
        <f>BD8</f>
        <v>6</v>
      </c>
      <c r="AX8" s="149">
        <f>BD8</f>
        <v>6</v>
      </c>
      <c r="AY8" s="149">
        <f>BD8</f>
        <v>6</v>
      </c>
      <c r="AZ8" s="149">
        <f>BD8</f>
        <v>6</v>
      </c>
      <c r="BA8" s="149">
        <f>BD8</f>
        <v>6</v>
      </c>
      <c r="BB8" s="149">
        <f>BD8</f>
        <v>6</v>
      </c>
      <c r="BC8" s="150">
        <f>BD8</f>
        <v>6</v>
      </c>
      <c r="BD8" s="151">
        <v>6</v>
      </c>
      <c r="BE8" s="148">
        <f>BQ8</f>
        <v>7</v>
      </c>
      <c r="BF8" s="149">
        <f>BQ8</f>
        <v>7</v>
      </c>
      <c r="BG8" s="149">
        <f>BQ8</f>
        <v>7</v>
      </c>
      <c r="BH8" s="149">
        <f>BQ8</f>
        <v>7</v>
      </c>
      <c r="BI8" s="149">
        <f>BQ8</f>
        <v>7</v>
      </c>
      <c r="BJ8" s="149">
        <f>BQ8</f>
        <v>7</v>
      </c>
      <c r="BK8" s="149">
        <f>BQ8</f>
        <v>7</v>
      </c>
      <c r="BL8" s="149">
        <f>BQ8</f>
        <v>7</v>
      </c>
      <c r="BM8" s="149">
        <f>BQ8</f>
        <v>7</v>
      </c>
      <c r="BN8" s="149">
        <f>BQ8</f>
        <v>7</v>
      </c>
      <c r="BO8" s="149">
        <f>BQ8</f>
        <v>7</v>
      </c>
      <c r="BP8" s="150">
        <f>BQ8</f>
        <v>7</v>
      </c>
      <c r="BQ8" s="152">
        <v>7</v>
      </c>
    </row>
    <row r="9" spans="2:77" x14ac:dyDescent="0.25"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</row>
    <row r="10" spans="2:77" x14ac:dyDescent="0.25">
      <c r="B10" s="12" t="s">
        <v>65</v>
      </c>
      <c r="C10" s="18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2:77" x14ac:dyDescent="0.25">
      <c r="B11" s="11" t="s">
        <v>19</v>
      </c>
      <c r="C11" s="118" t="s">
        <v>64</v>
      </c>
      <c r="E11" s="100">
        <f>Q11/12</f>
        <v>5.625</v>
      </c>
      <c r="F11" s="45">
        <f>E11</f>
        <v>5.625</v>
      </c>
      <c r="G11" s="45">
        <f t="shared" ref="G11:O12" si="15">F11</f>
        <v>5.625</v>
      </c>
      <c r="H11" s="45">
        <f t="shared" si="15"/>
        <v>5.625</v>
      </c>
      <c r="I11" s="45">
        <f t="shared" si="15"/>
        <v>5.625</v>
      </c>
      <c r="J11" s="45">
        <f t="shared" si="15"/>
        <v>5.625</v>
      </c>
      <c r="K11" s="45">
        <f t="shared" si="15"/>
        <v>5.625</v>
      </c>
      <c r="L11" s="45">
        <f t="shared" si="15"/>
        <v>5.625</v>
      </c>
      <c r="M11" s="45">
        <f t="shared" si="15"/>
        <v>5.625</v>
      </c>
      <c r="N11" s="45">
        <f t="shared" si="15"/>
        <v>5.625</v>
      </c>
      <c r="O11" s="45">
        <f t="shared" si="15"/>
        <v>5.625</v>
      </c>
      <c r="P11" s="101">
        <f>Q11-SUM(E11:O11)</f>
        <v>5.625</v>
      </c>
      <c r="Q11" s="67">
        <f>Q8*Q6</f>
        <v>67.5</v>
      </c>
      <c r="R11" s="44">
        <f>AD11/12</f>
        <v>10.416666666666666</v>
      </c>
      <c r="S11" s="45">
        <f>R11</f>
        <v>10.416666666666666</v>
      </c>
      <c r="T11" s="45">
        <f t="shared" ref="T11:AB11" si="16">S11</f>
        <v>10.416666666666666</v>
      </c>
      <c r="U11" s="45">
        <f t="shared" si="16"/>
        <v>10.416666666666666</v>
      </c>
      <c r="V11" s="45">
        <f t="shared" si="16"/>
        <v>10.416666666666666</v>
      </c>
      <c r="W11" s="45">
        <f t="shared" si="16"/>
        <v>10.416666666666666</v>
      </c>
      <c r="X11" s="45">
        <f t="shared" si="16"/>
        <v>10.416666666666666</v>
      </c>
      <c r="Y11" s="45">
        <f t="shared" si="16"/>
        <v>10.416666666666666</v>
      </c>
      <c r="Z11" s="45">
        <f t="shared" si="16"/>
        <v>10.416666666666666</v>
      </c>
      <c r="AA11" s="45">
        <f t="shared" si="16"/>
        <v>10.416666666666666</v>
      </c>
      <c r="AB11" s="45">
        <f t="shared" si="16"/>
        <v>10.416666666666666</v>
      </c>
      <c r="AC11" s="45">
        <f>AD11-SUM(R11:AB11)</f>
        <v>10.416666666666657</v>
      </c>
      <c r="AD11" s="74">
        <f>AD8*AD6</f>
        <v>125</v>
      </c>
      <c r="AE11" s="44">
        <f>AQ11/12</f>
        <v>20.833333333333332</v>
      </c>
      <c r="AF11" s="45">
        <f>AE11</f>
        <v>20.833333333333332</v>
      </c>
      <c r="AG11" s="45">
        <f t="shared" ref="AG11:AO11" si="17">AF11</f>
        <v>20.833333333333332</v>
      </c>
      <c r="AH11" s="45">
        <f t="shared" si="17"/>
        <v>20.833333333333332</v>
      </c>
      <c r="AI11" s="45">
        <f t="shared" si="17"/>
        <v>20.833333333333332</v>
      </c>
      <c r="AJ11" s="45">
        <f t="shared" si="17"/>
        <v>20.833333333333332</v>
      </c>
      <c r="AK11" s="45">
        <f t="shared" si="17"/>
        <v>20.833333333333332</v>
      </c>
      <c r="AL11" s="45">
        <f t="shared" si="17"/>
        <v>20.833333333333332</v>
      </c>
      <c r="AM11" s="45">
        <f t="shared" si="17"/>
        <v>20.833333333333332</v>
      </c>
      <c r="AN11" s="45">
        <f t="shared" si="17"/>
        <v>20.833333333333332</v>
      </c>
      <c r="AO11" s="45">
        <f t="shared" si="17"/>
        <v>20.833333333333332</v>
      </c>
      <c r="AP11" s="45">
        <f>AQ11-SUM(AE11:AO11)</f>
        <v>20.833333333333314</v>
      </c>
      <c r="AQ11" s="61">
        <f>AQ8*AQ6</f>
        <v>250</v>
      </c>
      <c r="AR11" s="44">
        <f>BD11/12</f>
        <v>30</v>
      </c>
      <c r="AS11" s="45">
        <f>AR11</f>
        <v>30</v>
      </c>
      <c r="AT11" s="45">
        <f t="shared" ref="AT11:BB11" si="18">AS11</f>
        <v>30</v>
      </c>
      <c r="AU11" s="45">
        <f t="shared" si="18"/>
        <v>30</v>
      </c>
      <c r="AV11" s="45">
        <f t="shared" si="18"/>
        <v>30</v>
      </c>
      <c r="AW11" s="45">
        <f t="shared" si="18"/>
        <v>30</v>
      </c>
      <c r="AX11" s="45">
        <f t="shared" si="18"/>
        <v>30</v>
      </c>
      <c r="AY11" s="45">
        <f t="shared" si="18"/>
        <v>30</v>
      </c>
      <c r="AZ11" s="45">
        <f t="shared" si="18"/>
        <v>30</v>
      </c>
      <c r="BA11" s="45">
        <f t="shared" si="18"/>
        <v>30</v>
      </c>
      <c r="BB11" s="45">
        <f t="shared" si="18"/>
        <v>30</v>
      </c>
      <c r="BC11" s="45">
        <f>BD11-SUM(AR11:BB11)</f>
        <v>30</v>
      </c>
      <c r="BD11" s="80">
        <f>BD8*BD6</f>
        <v>360</v>
      </c>
      <c r="BE11" s="44">
        <f>BQ11/12</f>
        <v>37.916666666666664</v>
      </c>
      <c r="BF11" s="45">
        <f>BE11</f>
        <v>37.916666666666664</v>
      </c>
      <c r="BG11" s="45">
        <f t="shared" ref="BG11:BO11" si="19">BF11</f>
        <v>37.916666666666664</v>
      </c>
      <c r="BH11" s="45">
        <f t="shared" si="19"/>
        <v>37.916666666666664</v>
      </c>
      <c r="BI11" s="45">
        <f t="shared" si="19"/>
        <v>37.916666666666664</v>
      </c>
      <c r="BJ11" s="45">
        <f t="shared" si="19"/>
        <v>37.916666666666664</v>
      </c>
      <c r="BK11" s="45">
        <f t="shared" si="19"/>
        <v>37.916666666666664</v>
      </c>
      <c r="BL11" s="45">
        <f t="shared" si="19"/>
        <v>37.916666666666664</v>
      </c>
      <c r="BM11" s="45">
        <f t="shared" si="19"/>
        <v>37.916666666666664</v>
      </c>
      <c r="BN11" s="45">
        <f t="shared" si="19"/>
        <v>37.916666666666664</v>
      </c>
      <c r="BO11" s="45">
        <f t="shared" si="19"/>
        <v>37.916666666666664</v>
      </c>
      <c r="BP11" s="45">
        <f>BQ11-SUM(BE11:BO11)</f>
        <v>37.916666666666629</v>
      </c>
      <c r="BQ11" s="86">
        <f>BQ8*BQ6</f>
        <v>455</v>
      </c>
      <c r="BS11" s="214"/>
      <c r="BT11" s="215" t="str">
        <f>PROPER($Q$2)</f>
        <v>Year 1</v>
      </c>
      <c r="BU11" s="215" t="str">
        <f>PROPER($AD$2)</f>
        <v>Year 2</v>
      </c>
      <c r="BV11" s="215" t="str">
        <f>PROPER($AQ$2)</f>
        <v>Year 3</v>
      </c>
      <c r="BW11" s="215" t="str">
        <f>PROPER($BD$2)</f>
        <v>Year 4</v>
      </c>
      <c r="BX11" s="216" t="str">
        <f>PROPER($BQ$2)</f>
        <v>Year 5</v>
      </c>
    </row>
    <row r="12" spans="2:77" x14ac:dyDescent="0.25">
      <c r="B12" s="33" t="s">
        <v>0</v>
      </c>
      <c r="C12" s="190">
        <v>0.25</v>
      </c>
      <c r="E12" s="102">
        <f>Q12/12</f>
        <v>1.40625</v>
      </c>
      <c r="F12" s="47">
        <f>E12</f>
        <v>1.40625</v>
      </c>
      <c r="G12" s="47">
        <f t="shared" si="15"/>
        <v>1.40625</v>
      </c>
      <c r="H12" s="47">
        <f t="shared" si="15"/>
        <v>1.40625</v>
      </c>
      <c r="I12" s="47">
        <f t="shared" si="15"/>
        <v>1.40625</v>
      </c>
      <c r="J12" s="47">
        <f t="shared" si="15"/>
        <v>1.40625</v>
      </c>
      <c r="K12" s="47">
        <f t="shared" si="15"/>
        <v>1.40625</v>
      </c>
      <c r="L12" s="47">
        <f t="shared" si="15"/>
        <v>1.40625</v>
      </c>
      <c r="M12" s="47">
        <f t="shared" si="15"/>
        <v>1.40625</v>
      </c>
      <c r="N12" s="47">
        <f t="shared" si="15"/>
        <v>1.40625</v>
      </c>
      <c r="O12" s="47">
        <f t="shared" si="15"/>
        <v>1.40625</v>
      </c>
      <c r="P12" s="103">
        <f>Q12-SUM(E12:O12)</f>
        <v>1.40625</v>
      </c>
      <c r="Q12" s="68">
        <f>$C12*Q$11</f>
        <v>16.875</v>
      </c>
      <c r="R12" s="46">
        <f>AD12/12</f>
        <v>2.6041666666666665</v>
      </c>
      <c r="S12" s="47">
        <f>R12</f>
        <v>2.6041666666666665</v>
      </c>
      <c r="T12" s="47">
        <f t="shared" ref="T12:AB12" si="20">S12</f>
        <v>2.6041666666666665</v>
      </c>
      <c r="U12" s="47">
        <f t="shared" si="20"/>
        <v>2.6041666666666665</v>
      </c>
      <c r="V12" s="47">
        <f t="shared" si="20"/>
        <v>2.6041666666666665</v>
      </c>
      <c r="W12" s="47">
        <f t="shared" si="20"/>
        <v>2.6041666666666665</v>
      </c>
      <c r="X12" s="47">
        <f t="shared" si="20"/>
        <v>2.6041666666666665</v>
      </c>
      <c r="Y12" s="47">
        <f t="shared" si="20"/>
        <v>2.6041666666666665</v>
      </c>
      <c r="Z12" s="47">
        <f t="shared" si="20"/>
        <v>2.6041666666666665</v>
      </c>
      <c r="AA12" s="47">
        <f t="shared" si="20"/>
        <v>2.6041666666666665</v>
      </c>
      <c r="AB12" s="47">
        <f t="shared" si="20"/>
        <v>2.6041666666666665</v>
      </c>
      <c r="AC12" s="47">
        <f>AD12-SUM(R12:AB12)</f>
        <v>2.6041666666666643</v>
      </c>
      <c r="AD12" s="75">
        <f>$C12*AD$11</f>
        <v>31.25</v>
      </c>
      <c r="AE12" s="46">
        <f>AQ12/12</f>
        <v>5.208333333333333</v>
      </c>
      <c r="AF12" s="47">
        <f>AE12</f>
        <v>5.208333333333333</v>
      </c>
      <c r="AG12" s="47">
        <f t="shared" ref="AG12:AO12" si="21">AF12</f>
        <v>5.208333333333333</v>
      </c>
      <c r="AH12" s="47">
        <f t="shared" si="21"/>
        <v>5.208333333333333</v>
      </c>
      <c r="AI12" s="47">
        <f t="shared" si="21"/>
        <v>5.208333333333333</v>
      </c>
      <c r="AJ12" s="47">
        <f t="shared" si="21"/>
        <v>5.208333333333333</v>
      </c>
      <c r="AK12" s="47">
        <f t="shared" si="21"/>
        <v>5.208333333333333</v>
      </c>
      <c r="AL12" s="47">
        <f t="shared" si="21"/>
        <v>5.208333333333333</v>
      </c>
      <c r="AM12" s="47">
        <f t="shared" si="21"/>
        <v>5.208333333333333</v>
      </c>
      <c r="AN12" s="47">
        <f t="shared" si="21"/>
        <v>5.208333333333333</v>
      </c>
      <c r="AO12" s="47">
        <f t="shared" si="21"/>
        <v>5.208333333333333</v>
      </c>
      <c r="AP12" s="47">
        <f>AQ12-SUM(AE12:AO12)</f>
        <v>5.2083333333333286</v>
      </c>
      <c r="AQ12" s="62">
        <f>$C12*AQ$11</f>
        <v>62.5</v>
      </c>
      <c r="AR12" s="46">
        <f>BD12/12</f>
        <v>7.5</v>
      </c>
      <c r="AS12" s="47">
        <f>AR12</f>
        <v>7.5</v>
      </c>
      <c r="AT12" s="47">
        <f t="shared" ref="AT12:BB12" si="22">AS12</f>
        <v>7.5</v>
      </c>
      <c r="AU12" s="47">
        <f t="shared" si="22"/>
        <v>7.5</v>
      </c>
      <c r="AV12" s="47">
        <f t="shared" si="22"/>
        <v>7.5</v>
      </c>
      <c r="AW12" s="47">
        <f t="shared" si="22"/>
        <v>7.5</v>
      </c>
      <c r="AX12" s="47">
        <f t="shared" si="22"/>
        <v>7.5</v>
      </c>
      <c r="AY12" s="47">
        <f t="shared" si="22"/>
        <v>7.5</v>
      </c>
      <c r="AZ12" s="47">
        <f t="shared" si="22"/>
        <v>7.5</v>
      </c>
      <c r="BA12" s="47">
        <f t="shared" si="22"/>
        <v>7.5</v>
      </c>
      <c r="BB12" s="47">
        <f t="shared" si="22"/>
        <v>7.5</v>
      </c>
      <c r="BC12" s="47">
        <f>BD12-SUM(AR12:BB12)</f>
        <v>7.5</v>
      </c>
      <c r="BD12" s="81">
        <f>$C12*BD$11</f>
        <v>90</v>
      </c>
      <c r="BE12" s="46">
        <f>BQ12/12</f>
        <v>9.4791666666666661</v>
      </c>
      <c r="BF12" s="47">
        <f>BE12</f>
        <v>9.4791666666666661</v>
      </c>
      <c r="BG12" s="47">
        <f t="shared" ref="BG12:BO12" si="23">BF12</f>
        <v>9.4791666666666661</v>
      </c>
      <c r="BH12" s="47">
        <f t="shared" si="23"/>
        <v>9.4791666666666661</v>
      </c>
      <c r="BI12" s="47">
        <f t="shared" si="23"/>
        <v>9.4791666666666661</v>
      </c>
      <c r="BJ12" s="47">
        <f t="shared" si="23"/>
        <v>9.4791666666666661</v>
      </c>
      <c r="BK12" s="47">
        <f t="shared" si="23"/>
        <v>9.4791666666666661</v>
      </c>
      <c r="BL12" s="47">
        <f t="shared" si="23"/>
        <v>9.4791666666666661</v>
      </c>
      <c r="BM12" s="47">
        <f t="shared" si="23"/>
        <v>9.4791666666666661</v>
      </c>
      <c r="BN12" s="47">
        <f t="shared" si="23"/>
        <v>9.4791666666666661</v>
      </c>
      <c r="BO12" s="47">
        <f t="shared" si="23"/>
        <v>9.4791666666666661</v>
      </c>
      <c r="BP12" s="47">
        <f>BQ12-SUM(BE12:BO12)</f>
        <v>9.4791666666666572</v>
      </c>
      <c r="BQ12" s="87">
        <f>$C12*BQ$11</f>
        <v>113.75</v>
      </c>
      <c r="BS12" s="217" t="str">
        <f>$B$21</f>
        <v>EBIT</v>
      </c>
      <c r="BT12" s="218">
        <f>$Q$21</f>
        <v>18.899999999999999</v>
      </c>
      <c r="BU12" s="218">
        <f>$AD$21</f>
        <v>35</v>
      </c>
      <c r="BV12" s="218">
        <f>$AQ$21</f>
        <v>70</v>
      </c>
      <c r="BW12" s="218">
        <f>$BD$21</f>
        <v>100.80000000000001</v>
      </c>
      <c r="BX12" s="219">
        <f>$BQ$21</f>
        <v>127.4</v>
      </c>
    </row>
    <row r="13" spans="2:77" s="1" customFormat="1" x14ac:dyDescent="0.25">
      <c r="B13" s="26" t="s">
        <v>7</v>
      </c>
      <c r="C13" s="191"/>
      <c r="E13" s="104">
        <f t="shared" ref="E13:P13" si="24">E11-E12</f>
        <v>4.21875</v>
      </c>
      <c r="F13" s="49">
        <f t="shared" si="24"/>
        <v>4.21875</v>
      </c>
      <c r="G13" s="49">
        <f t="shared" si="24"/>
        <v>4.21875</v>
      </c>
      <c r="H13" s="49">
        <f t="shared" si="24"/>
        <v>4.21875</v>
      </c>
      <c r="I13" s="49">
        <f t="shared" si="24"/>
        <v>4.21875</v>
      </c>
      <c r="J13" s="49">
        <f t="shared" si="24"/>
        <v>4.21875</v>
      </c>
      <c r="K13" s="49">
        <f t="shared" si="24"/>
        <v>4.21875</v>
      </c>
      <c r="L13" s="49">
        <f t="shared" si="24"/>
        <v>4.21875</v>
      </c>
      <c r="M13" s="49">
        <f t="shared" si="24"/>
        <v>4.21875</v>
      </c>
      <c r="N13" s="49">
        <f t="shared" si="24"/>
        <v>4.21875</v>
      </c>
      <c r="O13" s="49">
        <f t="shared" si="24"/>
        <v>4.21875</v>
      </c>
      <c r="P13" s="105">
        <f t="shared" si="24"/>
        <v>4.21875</v>
      </c>
      <c r="Q13" s="69">
        <f>Q11-Q12</f>
        <v>50.625</v>
      </c>
      <c r="R13" s="48">
        <f t="shared" ref="R13" si="25">R11-R12</f>
        <v>7.8125</v>
      </c>
      <c r="S13" s="49">
        <f t="shared" ref="S13" si="26">S11-S12</f>
        <v>7.8125</v>
      </c>
      <c r="T13" s="49">
        <f t="shared" ref="T13" si="27">T11-T12</f>
        <v>7.8125</v>
      </c>
      <c r="U13" s="49">
        <f t="shared" ref="U13" si="28">U11-U12</f>
        <v>7.8125</v>
      </c>
      <c r="V13" s="49">
        <f t="shared" ref="V13" si="29">V11-V12</f>
        <v>7.8125</v>
      </c>
      <c r="W13" s="49">
        <f t="shared" ref="W13" si="30">W11-W12</f>
        <v>7.8125</v>
      </c>
      <c r="X13" s="49">
        <f t="shared" ref="X13" si="31">X11-X12</f>
        <v>7.8125</v>
      </c>
      <c r="Y13" s="49">
        <f t="shared" ref="Y13" si="32">Y11-Y12</f>
        <v>7.8125</v>
      </c>
      <c r="Z13" s="49">
        <f t="shared" ref="Z13" si="33">Z11-Z12</f>
        <v>7.8125</v>
      </c>
      <c r="AA13" s="49">
        <f t="shared" ref="AA13" si="34">AA11-AA12</f>
        <v>7.8125</v>
      </c>
      <c r="AB13" s="49">
        <f t="shared" ref="AB13" si="35">AB11-AB12</f>
        <v>7.8125</v>
      </c>
      <c r="AC13" s="49">
        <f t="shared" ref="AC13" si="36">AC11-AC12</f>
        <v>7.8124999999999929</v>
      </c>
      <c r="AD13" s="76">
        <f>AD11-AD12</f>
        <v>93.75</v>
      </c>
      <c r="AE13" s="48">
        <f t="shared" ref="AE13" si="37">AE11-AE12</f>
        <v>15.625</v>
      </c>
      <c r="AF13" s="49">
        <f t="shared" ref="AF13" si="38">AF11-AF12</f>
        <v>15.625</v>
      </c>
      <c r="AG13" s="49">
        <f t="shared" ref="AG13" si="39">AG11-AG12</f>
        <v>15.625</v>
      </c>
      <c r="AH13" s="49">
        <f t="shared" ref="AH13" si="40">AH11-AH12</f>
        <v>15.625</v>
      </c>
      <c r="AI13" s="49">
        <f t="shared" ref="AI13" si="41">AI11-AI12</f>
        <v>15.625</v>
      </c>
      <c r="AJ13" s="49">
        <f t="shared" ref="AJ13" si="42">AJ11-AJ12</f>
        <v>15.625</v>
      </c>
      <c r="AK13" s="49">
        <f t="shared" ref="AK13" si="43">AK11-AK12</f>
        <v>15.625</v>
      </c>
      <c r="AL13" s="49">
        <f t="shared" ref="AL13" si="44">AL11-AL12</f>
        <v>15.625</v>
      </c>
      <c r="AM13" s="49">
        <f t="shared" ref="AM13" si="45">AM11-AM12</f>
        <v>15.625</v>
      </c>
      <c r="AN13" s="49">
        <f t="shared" ref="AN13" si="46">AN11-AN12</f>
        <v>15.625</v>
      </c>
      <c r="AO13" s="49">
        <f t="shared" ref="AO13" si="47">AO11-AO12</f>
        <v>15.625</v>
      </c>
      <c r="AP13" s="49">
        <f t="shared" ref="AP13" si="48">AP11-AP12</f>
        <v>15.624999999999986</v>
      </c>
      <c r="AQ13" s="63">
        <f t="shared" ref="AQ13:BQ13" si="49">AQ11-AQ12</f>
        <v>187.5</v>
      </c>
      <c r="AR13" s="48">
        <f t="shared" ref="AR13" si="50">AR11-AR12</f>
        <v>22.5</v>
      </c>
      <c r="AS13" s="49">
        <f t="shared" ref="AS13" si="51">AS11-AS12</f>
        <v>22.5</v>
      </c>
      <c r="AT13" s="49">
        <f t="shared" ref="AT13" si="52">AT11-AT12</f>
        <v>22.5</v>
      </c>
      <c r="AU13" s="49">
        <f t="shared" ref="AU13" si="53">AU11-AU12</f>
        <v>22.5</v>
      </c>
      <c r="AV13" s="49">
        <f t="shared" ref="AV13" si="54">AV11-AV12</f>
        <v>22.5</v>
      </c>
      <c r="AW13" s="49">
        <f t="shared" ref="AW13" si="55">AW11-AW12</f>
        <v>22.5</v>
      </c>
      <c r="AX13" s="49">
        <f t="shared" ref="AX13" si="56">AX11-AX12</f>
        <v>22.5</v>
      </c>
      <c r="AY13" s="49">
        <f t="shared" ref="AY13" si="57">AY11-AY12</f>
        <v>22.5</v>
      </c>
      <c r="AZ13" s="49">
        <f t="shared" ref="AZ13" si="58">AZ11-AZ12</f>
        <v>22.5</v>
      </c>
      <c r="BA13" s="49">
        <f t="shared" ref="BA13" si="59">BA11-BA12</f>
        <v>22.5</v>
      </c>
      <c r="BB13" s="49">
        <f t="shared" ref="BB13" si="60">BB11-BB12</f>
        <v>22.5</v>
      </c>
      <c r="BC13" s="49">
        <f t="shared" ref="BC13" si="61">BC11-BC12</f>
        <v>22.5</v>
      </c>
      <c r="BD13" s="82">
        <f t="shared" si="49"/>
        <v>270</v>
      </c>
      <c r="BE13" s="48">
        <f t="shared" ref="BE13" si="62">BE11-BE12</f>
        <v>28.4375</v>
      </c>
      <c r="BF13" s="49">
        <f t="shared" ref="BF13" si="63">BF11-BF12</f>
        <v>28.4375</v>
      </c>
      <c r="BG13" s="49">
        <f t="shared" ref="BG13" si="64">BG11-BG12</f>
        <v>28.4375</v>
      </c>
      <c r="BH13" s="49">
        <f t="shared" ref="BH13" si="65">BH11-BH12</f>
        <v>28.4375</v>
      </c>
      <c r="BI13" s="49">
        <f t="shared" ref="BI13" si="66">BI11-BI12</f>
        <v>28.4375</v>
      </c>
      <c r="BJ13" s="49">
        <f t="shared" ref="BJ13" si="67">BJ11-BJ12</f>
        <v>28.4375</v>
      </c>
      <c r="BK13" s="49">
        <f t="shared" ref="BK13" si="68">BK11-BK12</f>
        <v>28.4375</v>
      </c>
      <c r="BL13" s="49">
        <f t="shared" ref="BL13" si="69">BL11-BL12</f>
        <v>28.4375</v>
      </c>
      <c r="BM13" s="49">
        <f t="shared" ref="BM13" si="70">BM11-BM12</f>
        <v>28.4375</v>
      </c>
      <c r="BN13" s="49">
        <f t="shared" ref="BN13" si="71">BN11-BN12</f>
        <v>28.4375</v>
      </c>
      <c r="BO13" s="49">
        <f t="shared" ref="BO13" si="72">BO11-BO12</f>
        <v>28.4375</v>
      </c>
      <c r="BP13" s="49">
        <f t="shared" ref="BP13" si="73">BP11-BP12</f>
        <v>28.437499999999972</v>
      </c>
      <c r="BQ13" s="88">
        <f t="shared" si="49"/>
        <v>341.25</v>
      </c>
      <c r="BS13" s="223" t="s">
        <v>93</v>
      </c>
      <c r="BT13" s="224">
        <f>$Q$24</f>
        <v>6.277499999999999</v>
      </c>
      <c r="BU13" s="224">
        <f>$AD$24</f>
        <v>11.625</v>
      </c>
      <c r="BV13" s="224">
        <f>$AQ$24</f>
        <v>23.25</v>
      </c>
      <c r="BW13" s="224">
        <f>$BD$24</f>
        <v>33.480000000000004</v>
      </c>
      <c r="BX13" s="225">
        <f>$BQ$24</f>
        <v>42.314999999999998</v>
      </c>
    </row>
    <row r="14" spans="2:77" x14ac:dyDescent="0.25">
      <c r="B14" s="13" t="s">
        <v>8</v>
      </c>
      <c r="C14" s="191"/>
      <c r="E14" s="104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105"/>
      <c r="Q14" s="69"/>
      <c r="R14" s="48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76"/>
      <c r="AE14" s="48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63"/>
      <c r="AR14" s="48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82"/>
      <c r="BE14" s="48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88"/>
      <c r="BS14" s="220" t="str">
        <f>$B$11</f>
        <v>Revenue</v>
      </c>
      <c r="BT14" s="221">
        <f>$Q$11</f>
        <v>67.5</v>
      </c>
      <c r="BU14" s="221">
        <f>$AD$11</f>
        <v>125</v>
      </c>
      <c r="BV14" s="221">
        <f>$AQ$11</f>
        <v>250</v>
      </c>
      <c r="BW14" s="221">
        <f>$BD$11</f>
        <v>360</v>
      </c>
      <c r="BX14" s="222">
        <f>$BQ$11</f>
        <v>455</v>
      </c>
    </row>
    <row r="15" spans="2:77" x14ac:dyDescent="0.25">
      <c r="B15" s="35" t="s">
        <v>1</v>
      </c>
      <c r="C15" s="190">
        <v>0.12</v>
      </c>
      <c r="E15" s="99">
        <f t="shared" ref="E15:E17" si="74">Q15/12</f>
        <v>0.67499999999999993</v>
      </c>
      <c r="F15" s="51">
        <f>E15</f>
        <v>0.67499999999999993</v>
      </c>
      <c r="G15" s="51">
        <f t="shared" ref="G15:O17" si="75">F15</f>
        <v>0.67499999999999993</v>
      </c>
      <c r="H15" s="51">
        <f t="shared" si="75"/>
        <v>0.67499999999999993</v>
      </c>
      <c r="I15" s="51">
        <f t="shared" si="75"/>
        <v>0.67499999999999993</v>
      </c>
      <c r="J15" s="51">
        <f t="shared" si="75"/>
        <v>0.67499999999999993</v>
      </c>
      <c r="K15" s="51">
        <f t="shared" si="75"/>
        <v>0.67499999999999993</v>
      </c>
      <c r="L15" s="51">
        <f t="shared" si="75"/>
        <v>0.67499999999999993</v>
      </c>
      <c r="M15" s="51">
        <f t="shared" si="75"/>
        <v>0.67499999999999993</v>
      </c>
      <c r="N15" s="51">
        <f t="shared" si="75"/>
        <v>0.67499999999999993</v>
      </c>
      <c r="O15" s="51">
        <f t="shared" si="75"/>
        <v>0.67499999999999993</v>
      </c>
      <c r="P15" s="106">
        <f>Q15-SUM(E15:O15)</f>
        <v>0.67500000000000071</v>
      </c>
      <c r="Q15" s="70">
        <f>$C15*Q$11</f>
        <v>8.1</v>
      </c>
      <c r="R15" s="50">
        <f t="shared" ref="R15:R17" si="76">AD15/12</f>
        <v>1.25</v>
      </c>
      <c r="S15" s="51">
        <f>R15</f>
        <v>1.25</v>
      </c>
      <c r="T15" s="51">
        <f t="shared" ref="T15:AB15" si="77">S15</f>
        <v>1.25</v>
      </c>
      <c r="U15" s="51">
        <f t="shared" si="77"/>
        <v>1.25</v>
      </c>
      <c r="V15" s="51">
        <f t="shared" si="77"/>
        <v>1.25</v>
      </c>
      <c r="W15" s="51">
        <f t="shared" si="77"/>
        <v>1.25</v>
      </c>
      <c r="X15" s="51">
        <f t="shared" si="77"/>
        <v>1.25</v>
      </c>
      <c r="Y15" s="51">
        <f t="shared" si="77"/>
        <v>1.25</v>
      </c>
      <c r="Z15" s="51">
        <f t="shared" si="77"/>
        <v>1.25</v>
      </c>
      <c r="AA15" s="51">
        <f t="shared" si="77"/>
        <v>1.25</v>
      </c>
      <c r="AB15" s="51">
        <f t="shared" si="77"/>
        <v>1.25</v>
      </c>
      <c r="AC15" s="51">
        <f>AD15-SUM(R15:AB15)</f>
        <v>1.25</v>
      </c>
      <c r="AD15" s="77">
        <f>$C15*AD$11</f>
        <v>15</v>
      </c>
      <c r="AE15" s="50">
        <f t="shared" ref="AE15:AE17" si="78">AQ15/12</f>
        <v>2.5</v>
      </c>
      <c r="AF15" s="51">
        <f>AE15</f>
        <v>2.5</v>
      </c>
      <c r="AG15" s="51">
        <f t="shared" ref="AG15:AO15" si="79">AF15</f>
        <v>2.5</v>
      </c>
      <c r="AH15" s="51">
        <f t="shared" si="79"/>
        <v>2.5</v>
      </c>
      <c r="AI15" s="51">
        <f t="shared" si="79"/>
        <v>2.5</v>
      </c>
      <c r="AJ15" s="51">
        <f t="shared" si="79"/>
        <v>2.5</v>
      </c>
      <c r="AK15" s="51">
        <f t="shared" si="79"/>
        <v>2.5</v>
      </c>
      <c r="AL15" s="51">
        <f t="shared" si="79"/>
        <v>2.5</v>
      </c>
      <c r="AM15" s="51">
        <f t="shared" si="79"/>
        <v>2.5</v>
      </c>
      <c r="AN15" s="51">
        <f t="shared" si="79"/>
        <v>2.5</v>
      </c>
      <c r="AO15" s="51">
        <f t="shared" si="79"/>
        <v>2.5</v>
      </c>
      <c r="AP15" s="51">
        <f>AQ15-SUM(AE15:AO15)</f>
        <v>2.5</v>
      </c>
      <c r="AQ15" s="64">
        <f>$C15*AQ$11</f>
        <v>30</v>
      </c>
      <c r="AR15" s="50">
        <f t="shared" ref="AR15:AR17" si="80">BD15/12</f>
        <v>3.5999999999999996</v>
      </c>
      <c r="AS15" s="51">
        <f>AR15</f>
        <v>3.5999999999999996</v>
      </c>
      <c r="AT15" s="51">
        <f t="shared" ref="AT15:BB15" si="81">AS15</f>
        <v>3.5999999999999996</v>
      </c>
      <c r="AU15" s="51">
        <f t="shared" si="81"/>
        <v>3.5999999999999996</v>
      </c>
      <c r="AV15" s="51">
        <f t="shared" si="81"/>
        <v>3.5999999999999996</v>
      </c>
      <c r="AW15" s="51">
        <f t="shared" si="81"/>
        <v>3.5999999999999996</v>
      </c>
      <c r="AX15" s="51">
        <f t="shared" si="81"/>
        <v>3.5999999999999996</v>
      </c>
      <c r="AY15" s="51">
        <f t="shared" si="81"/>
        <v>3.5999999999999996</v>
      </c>
      <c r="AZ15" s="51">
        <f t="shared" si="81"/>
        <v>3.5999999999999996</v>
      </c>
      <c r="BA15" s="51">
        <f t="shared" si="81"/>
        <v>3.5999999999999996</v>
      </c>
      <c r="BB15" s="51">
        <f t="shared" si="81"/>
        <v>3.5999999999999996</v>
      </c>
      <c r="BC15" s="51">
        <f>BD15-SUM(AR15:BB15)</f>
        <v>3.5999999999999872</v>
      </c>
      <c r="BD15" s="83">
        <f>$C15*BD$11</f>
        <v>43.199999999999996</v>
      </c>
      <c r="BE15" s="50">
        <f t="shared" ref="BE15:BE17" si="82">BQ15/12</f>
        <v>4.55</v>
      </c>
      <c r="BF15" s="51">
        <f>BE15</f>
        <v>4.55</v>
      </c>
      <c r="BG15" s="51">
        <f t="shared" ref="BG15:BO15" si="83">BF15</f>
        <v>4.55</v>
      </c>
      <c r="BH15" s="51">
        <f t="shared" si="83"/>
        <v>4.55</v>
      </c>
      <c r="BI15" s="51">
        <f t="shared" si="83"/>
        <v>4.55</v>
      </c>
      <c r="BJ15" s="51">
        <f t="shared" si="83"/>
        <v>4.55</v>
      </c>
      <c r="BK15" s="51">
        <f t="shared" si="83"/>
        <v>4.55</v>
      </c>
      <c r="BL15" s="51">
        <f t="shared" si="83"/>
        <v>4.55</v>
      </c>
      <c r="BM15" s="51">
        <f t="shared" si="83"/>
        <v>4.55</v>
      </c>
      <c r="BN15" s="51">
        <f t="shared" si="83"/>
        <v>4.55</v>
      </c>
      <c r="BO15" s="51">
        <f t="shared" si="83"/>
        <v>4.55</v>
      </c>
      <c r="BP15" s="51">
        <f>BQ15-SUM(BE15:BO15)</f>
        <v>4.5500000000000114</v>
      </c>
      <c r="BQ15" s="89">
        <f>$C15*BQ$11</f>
        <v>54.6</v>
      </c>
    </row>
    <row r="16" spans="2:77" x14ac:dyDescent="0.25">
      <c r="B16" s="35" t="s">
        <v>2</v>
      </c>
      <c r="C16" s="190">
        <v>0.05</v>
      </c>
      <c r="E16" s="99">
        <f t="shared" si="74"/>
        <v>0.28125</v>
      </c>
      <c r="F16" s="51">
        <f>E16</f>
        <v>0.28125</v>
      </c>
      <c r="G16" s="51">
        <f t="shared" si="75"/>
        <v>0.28125</v>
      </c>
      <c r="H16" s="51">
        <f t="shared" si="75"/>
        <v>0.28125</v>
      </c>
      <c r="I16" s="51">
        <f t="shared" si="75"/>
        <v>0.28125</v>
      </c>
      <c r="J16" s="51">
        <f t="shared" si="75"/>
        <v>0.28125</v>
      </c>
      <c r="K16" s="51">
        <f t="shared" si="75"/>
        <v>0.28125</v>
      </c>
      <c r="L16" s="51">
        <f t="shared" si="75"/>
        <v>0.28125</v>
      </c>
      <c r="M16" s="51">
        <f t="shared" si="75"/>
        <v>0.28125</v>
      </c>
      <c r="N16" s="51">
        <f t="shared" si="75"/>
        <v>0.28125</v>
      </c>
      <c r="O16" s="51">
        <f t="shared" si="75"/>
        <v>0.28125</v>
      </c>
      <c r="P16" s="106">
        <f>Q16-SUM(E16:O16)</f>
        <v>0.28125</v>
      </c>
      <c r="Q16" s="70">
        <f>$C16*Q$11</f>
        <v>3.375</v>
      </c>
      <c r="R16" s="50">
        <f t="shared" si="76"/>
        <v>0.52083333333333337</v>
      </c>
      <c r="S16" s="51">
        <f>R16</f>
        <v>0.52083333333333337</v>
      </c>
      <c r="T16" s="51">
        <f t="shared" ref="T16:AB16" si="84">S16</f>
        <v>0.52083333333333337</v>
      </c>
      <c r="U16" s="51">
        <f t="shared" si="84"/>
        <v>0.52083333333333337</v>
      </c>
      <c r="V16" s="51">
        <f t="shared" si="84"/>
        <v>0.52083333333333337</v>
      </c>
      <c r="W16" s="51">
        <f t="shared" si="84"/>
        <v>0.52083333333333337</v>
      </c>
      <c r="X16" s="51">
        <f t="shared" si="84"/>
        <v>0.52083333333333337</v>
      </c>
      <c r="Y16" s="51">
        <f t="shared" si="84"/>
        <v>0.52083333333333337</v>
      </c>
      <c r="Z16" s="51">
        <f t="shared" si="84"/>
        <v>0.52083333333333337</v>
      </c>
      <c r="AA16" s="51">
        <f t="shared" si="84"/>
        <v>0.52083333333333337</v>
      </c>
      <c r="AB16" s="51">
        <f t="shared" si="84"/>
        <v>0.52083333333333337</v>
      </c>
      <c r="AC16" s="51">
        <f>AD16-SUM(R16:AB16)</f>
        <v>0.52083333333333393</v>
      </c>
      <c r="AD16" s="77">
        <f>$C16*AD$11</f>
        <v>6.25</v>
      </c>
      <c r="AE16" s="50">
        <f t="shared" si="78"/>
        <v>1.0416666666666667</v>
      </c>
      <c r="AF16" s="51">
        <f>AE16</f>
        <v>1.0416666666666667</v>
      </c>
      <c r="AG16" s="51">
        <f t="shared" ref="AG16:AO16" si="85">AF16</f>
        <v>1.0416666666666667</v>
      </c>
      <c r="AH16" s="51">
        <f t="shared" si="85"/>
        <v>1.0416666666666667</v>
      </c>
      <c r="AI16" s="51">
        <f t="shared" si="85"/>
        <v>1.0416666666666667</v>
      </c>
      <c r="AJ16" s="51">
        <f t="shared" si="85"/>
        <v>1.0416666666666667</v>
      </c>
      <c r="AK16" s="51">
        <f t="shared" si="85"/>
        <v>1.0416666666666667</v>
      </c>
      <c r="AL16" s="51">
        <f t="shared" si="85"/>
        <v>1.0416666666666667</v>
      </c>
      <c r="AM16" s="51">
        <f t="shared" si="85"/>
        <v>1.0416666666666667</v>
      </c>
      <c r="AN16" s="51">
        <f t="shared" si="85"/>
        <v>1.0416666666666667</v>
      </c>
      <c r="AO16" s="51">
        <f t="shared" si="85"/>
        <v>1.0416666666666667</v>
      </c>
      <c r="AP16" s="51">
        <f>AQ16-SUM(AE16:AO16)</f>
        <v>1.0416666666666679</v>
      </c>
      <c r="AQ16" s="64">
        <f>$C16*AQ$11</f>
        <v>12.5</v>
      </c>
      <c r="AR16" s="50">
        <f t="shared" si="80"/>
        <v>1.5</v>
      </c>
      <c r="AS16" s="51">
        <f>AR16</f>
        <v>1.5</v>
      </c>
      <c r="AT16" s="51">
        <f t="shared" ref="AT16:BB16" si="86">AS16</f>
        <v>1.5</v>
      </c>
      <c r="AU16" s="51">
        <f t="shared" si="86"/>
        <v>1.5</v>
      </c>
      <c r="AV16" s="51">
        <f t="shared" si="86"/>
        <v>1.5</v>
      </c>
      <c r="AW16" s="51">
        <f t="shared" si="86"/>
        <v>1.5</v>
      </c>
      <c r="AX16" s="51">
        <f t="shared" si="86"/>
        <v>1.5</v>
      </c>
      <c r="AY16" s="51">
        <f t="shared" si="86"/>
        <v>1.5</v>
      </c>
      <c r="AZ16" s="51">
        <f t="shared" si="86"/>
        <v>1.5</v>
      </c>
      <c r="BA16" s="51">
        <f t="shared" si="86"/>
        <v>1.5</v>
      </c>
      <c r="BB16" s="51">
        <f t="shared" si="86"/>
        <v>1.5</v>
      </c>
      <c r="BC16" s="51">
        <f>BD16-SUM(AR16:BB16)</f>
        <v>1.5</v>
      </c>
      <c r="BD16" s="83">
        <f>$C16*BD$11</f>
        <v>18</v>
      </c>
      <c r="BE16" s="50">
        <f t="shared" si="82"/>
        <v>1.8958333333333333</v>
      </c>
      <c r="BF16" s="51">
        <f>BE16</f>
        <v>1.8958333333333333</v>
      </c>
      <c r="BG16" s="51">
        <f t="shared" ref="BG16:BO16" si="87">BF16</f>
        <v>1.8958333333333333</v>
      </c>
      <c r="BH16" s="51">
        <f t="shared" si="87"/>
        <v>1.8958333333333333</v>
      </c>
      <c r="BI16" s="51">
        <f t="shared" si="87"/>
        <v>1.8958333333333333</v>
      </c>
      <c r="BJ16" s="51">
        <f t="shared" si="87"/>
        <v>1.8958333333333333</v>
      </c>
      <c r="BK16" s="51">
        <f t="shared" si="87"/>
        <v>1.8958333333333333</v>
      </c>
      <c r="BL16" s="51">
        <f t="shared" si="87"/>
        <v>1.8958333333333333</v>
      </c>
      <c r="BM16" s="51">
        <f t="shared" si="87"/>
        <v>1.8958333333333333</v>
      </c>
      <c r="BN16" s="51">
        <f t="shared" si="87"/>
        <v>1.8958333333333333</v>
      </c>
      <c r="BO16" s="51">
        <f t="shared" si="87"/>
        <v>1.8958333333333333</v>
      </c>
      <c r="BP16" s="51">
        <f>BQ16-SUM(BE16:BO16)</f>
        <v>1.8958333333333357</v>
      </c>
      <c r="BQ16" s="89">
        <f>$C16*BQ$11</f>
        <v>22.75</v>
      </c>
    </row>
    <row r="17" spans="2:124" x14ac:dyDescent="0.25">
      <c r="B17" s="25" t="s">
        <v>5</v>
      </c>
      <c r="C17" s="190">
        <v>0.15</v>
      </c>
      <c r="E17" s="102">
        <f t="shared" si="74"/>
        <v>0.84375</v>
      </c>
      <c r="F17" s="47">
        <f>E17</f>
        <v>0.84375</v>
      </c>
      <c r="G17" s="47">
        <f t="shared" si="75"/>
        <v>0.84375</v>
      </c>
      <c r="H17" s="47">
        <f t="shared" si="75"/>
        <v>0.84375</v>
      </c>
      <c r="I17" s="47">
        <f t="shared" si="75"/>
        <v>0.84375</v>
      </c>
      <c r="J17" s="47">
        <f t="shared" si="75"/>
        <v>0.84375</v>
      </c>
      <c r="K17" s="47">
        <f t="shared" si="75"/>
        <v>0.84375</v>
      </c>
      <c r="L17" s="47">
        <f t="shared" si="75"/>
        <v>0.84375</v>
      </c>
      <c r="M17" s="47">
        <f t="shared" si="75"/>
        <v>0.84375</v>
      </c>
      <c r="N17" s="47">
        <f t="shared" si="75"/>
        <v>0.84375</v>
      </c>
      <c r="O17" s="47">
        <f t="shared" si="75"/>
        <v>0.84375</v>
      </c>
      <c r="P17" s="103">
        <f>Q17-SUM(E17:O17)</f>
        <v>0.84375</v>
      </c>
      <c r="Q17" s="68">
        <f>$C17*Q$11</f>
        <v>10.125</v>
      </c>
      <c r="R17" s="46">
        <f t="shared" si="76"/>
        <v>1.5625</v>
      </c>
      <c r="S17" s="47">
        <f>R17</f>
        <v>1.5625</v>
      </c>
      <c r="T17" s="47">
        <f t="shared" ref="T17:AB17" si="88">S17</f>
        <v>1.5625</v>
      </c>
      <c r="U17" s="47">
        <f t="shared" si="88"/>
        <v>1.5625</v>
      </c>
      <c r="V17" s="47">
        <f t="shared" si="88"/>
        <v>1.5625</v>
      </c>
      <c r="W17" s="47">
        <f t="shared" si="88"/>
        <v>1.5625</v>
      </c>
      <c r="X17" s="47">
        <f t="shared" si="88"/>
        <v>1.5625</v>
      </c>
      <c r="Y17" s="47">
        <f t="shared" si="88"/>
        <v>1.5625</v>
      </c>
      <c r="Z17" s="47">
        <f t="shared" si="88"/>
        <v>1.5625</v>
      </c>
      <c r="AA17" s="47">
        <f t="shared" si="88"/>
        <v>1.5625</v>
      </c>
      <c r="AB17" s="47">
        <f t="shared" si="88"/>
        <v>1.5625</v>
      </c>
      <c r="AC17" s="47">
        <f>AD17-SUM(R17:AB17)</f>
        <v>1.5625</v>
      </c>
      <c r="AD17" s="75">
        <f>$C17*AD$11</f>
        <v>18.75</v>
      </c>
      <c r="AE17" s="46">
        <f t="shared" si="78"/>
        <v>3.125</v>
      </c>
      <c r="AF17" s="47">
        <f>AE17</f>
        <v>3.125</v>
      </c>
      <c r="AG17" s="47">
        <f t="shared" ref="AG17:AO17" si="89">AF17</f>
        <v>3.125</v>
      </c>
      <c r="AH17" s="47">
        <f t="shared" si="89"/>
        <v>3.125</v>
      </c>
      <c r="AI17" s="47">
        <f t="shared" si="89"/>
        <v>3.125</v>
      </c>
      <c r="AJ17" s="47">
        <f t="shared" si="89"/>
        <v>3.125</v>
      </c>
      <c r="AK17" s="47">
        <f t="shared" si="89"/>
        <v>3.125</v>
      </c>
      <c r="AL17" s="47">
        <f t="shared" si="89"/>
        <v>3.125</v>
      </c>
      <c r="AM17" s="47">
        <f t="shared" si="89"/>
        <v>3.125</v>
      </c>
      <c r="AN17" s="47">
        <f t="shared" si="89"/>
        <v>3.125</v>
      </c>
      <c r="AO17" s="47">
        <f t="shared" si="89"/>
        <v>3.125</v>
      </c>
      <c r="AP17" s="47">
        <f>AQ17-SUM(AE17:AO17)</f>
        <v>3.125</v>
      </c>
      <c r="AQ17" s="62">
        <f>$C17*AQ$11</f>
        <v>37.5</v>
      </c>
      <c r="AR17" s="46">
        <f t="shared" si="80"/>
        <v>4.5</v>
      </c>
      <c r="AS17" s="47">
        <f>AR17</f>
        <v>4.5</v>
      </c>
      <c r="AT17" s="47">
        <f t="shared" ref="AT17:BB17" si="90">AS17</f>
        <v>4.5</v>
      </c>
      <c r="AU17" s="47">
        <f t="shared" si="90"/>
        <v>4.5</v>
      </c>
      <c r="AV17" s="47">
        <f t="shared" si="90"/>
        <v>4.5</v>
      </c>
      <c r="AW17" s="47">
        <f t="shared" si="90"/>
        <v>4.5</v>
      </c>
      <c r="AX17" s="47">
        <f t="shared" si="90"/>
        <v>4.5</v>
      </c>
      <c r="AY17" s="47">
        <f t="shared" si="90"/>
        <v>4.5</v>
      </c>
      <c r="AZ17" s="47">
        <f t="shared" si="90"/>
        <v>4.5</v>
      </c>
      <c r="BA17" s="47">
        <f t="shared" si="90"/>
        <v>4.5</v>
      </c>
      <c r="BB17" s="47">
        <f t="shared" si="90"/>
        <v>4.5</v>
      </c>
      <c r="BC17" s="47">
        <f>BD17-SUM(AR17:BB17)</f>
        <v>4.5</v>
      </c>
      <c r="BD17" s="81">
        <f>$C17*BD$11</f>
        <v>54</v>
      </c>
      <c r="BE17" s="46">
        <f t="shared" si="82"/>
        <v>5.6875</v>
      </c>
      <c r="BF17" s="47">
        <f>BE17</f>
        <v>5.6875</v>
      </c>
      <c r="BG17" s="47">
        <f t="shared" ref="BG17:BO17" si="91">BF17</f>
        <v>5.6875</v>
      </c>
      <c r="BH17" s="47">
        <f t="shared" si="91"/>
        <v>5.6875</v>
      </c>
      <c r="BI17" s="47">
        <f t="shared" si="91"/>
        <v>5.6875</v>
      </c>
      <c r="BJ17" s="47">
        <f t="shared" si="91"/>
        <v>5.6875</v>
      </c>
      <c r="BK17" s="47">
        <f t="shared" si="91"/>
        <v>5.6875</v>
      </c>
      <c r="BL17" s="47">
        <f t="shared" si="91"/>
        <v>5.6875</v>
      </c>
      <c r="BM17" s="47">
        <f t="shared" si="91"/>
        <v>5.6875</v>
      </c>
      <c r="BN17" s="47">
        <f t="shared" si="91"/>
        <v>5.6875</v>
      </c>
      <c r="BO17" s="47">
        <f t="shared" si="91"/>
        <v>5.6875</v>
      </c>
      <c r="BP17" s="47">
        <f>BQ17-SUM(BE17:BO17)</f>
        <v>5.6875</v>
      </c>
      <c r="BQ17" s="87">
        <f>$C17*BQ$11</f>
        <v>68.25</v>
      </c>
      <c r="BZ17" s="1"/>
    </row>
    <row r="18" spans="2:124" x14ac:dyDescent="0.25">
      <c r="B18" s="32" t="s">
        <v>6</v>
      </c>
      <c r="C18" s="192">
        <f>SUM(C15:C17)</f>
        <v>0.31999999999999995</v>
      </c>
      <c r="E18" s="107">
        <f t="shared" ref="E18:P18" si="92">SUM(E15:E17)</f>
        <v>1.7999999999999998</v>
      </c>
      <c r="F18" s="53">
        <f t="shared" si="92"/>
        <v>1.7999999999999998</v>
      </c>
      <c r="G18" s="53">
        <f t="shared" si="92"/>
        <v>1.7999999999999998</v>
      </c>
      <c r="H18" s="53">
        <f t="shared" si="92"/>
        <v>1.7999999999999998</v>
      </c>
      <c r="I18" s="53">
        <f t="shared" si="92"/>
        <v>1.7999999999999998</v>
      </c>
      <c r="J18" s="53">
        <f t="shared" si="92"/>
        <v>1.7999999999999998</v>
      </c>
      <c r="K18" s="53">
        <f t="shared" si="92"/>
        <v>1.7999999999999998</v>
      </c>
      <c r="L18" s="53">
        <f t="shared" si="92"/>
        <v>1.7999999999999998</v>
      </c>
      <c r="M18" s="53">
        <f t="shared" si="92"/>
        <v>1.7999999999999998</v>
      </c>
      <c r="N18" s="53">
        <f t="shared" si="92"/>
        <v>1.7999999999999998</v>
      </c>
      <c r="O18" s="53">
        <f t="shared" si="92"/>
        <v>1.7999999999999998</v>
      </c>
      <c r="P18" s="108">
        <f t="shared" si="92"/>
        <v>1.8000000000000007</v>
      </c>
      <c r="Q18" s="71">
        <f>SUM(Q15:Q17)</f>
        <v>21.6</v>
      </c>
      <c r="R18" s="52">
        <f t="shared" ref="R18" si="93">SUM(R15:R17)</f>
        <v>3.3333333333333335</v>
      </c>
      <c r="S18" s="53">
        <f t="shared" ref="S18" si="94">SUM(S15:S17)</f>
        <v>3.3333333333333335</v>
      </c>
      <c r="T18" s="53">
        <f t="shared" ref="T18" si="95">SUM(T15:T17)</f>
        <v>3.3333333333333335</v>
      </c>
      <c r="U18" s="53">
        <f t="shared" ref="U18" si="96">SUM(U15:U17)</f>
        <v>3.3333333333333335</v>
      </c>
      <c r="V18" s="53">
        <f t="shared" ref="V18" si="97">SUM(V15:V17)</f>
        <v>3.3333333333333335</v>
      </c>
      <c r="W18" s="53">
        <f t="shared" ref="W18" si="98">SUM(W15:W17)</f>
        <v>3.3333333333333335</v>
      </c>
      <c r="X18" s="53">
        <f t="shared" ref="X18" si="99">SUM(X15:X17)</f>
        <v>3.3333333333333335</v>
      </c>
      <c r="Y18" s="53">
        <f t="shared" ref="Y18" si="100">SUM(Y15:Y17)</f>
        <v>3.3333333333333335</v>
      </c>
      <c r="Z18" s="53">
        <f t="shared" ref="Z18" si="101">SUM(Z15:Z17)</f>
        <v>3.3333333333333335</v>
      </c>
      <c r="AA18" s="53">
        <f t="shared" ref="AA18" si="102">SUM(AA15:AA17)</f>
        <v>3.3333333333333335</v>
      </c>
      <c r="AB18" s="53">
        <f t="shared" ref="AB18" si="103">SUM(AB15:AB17)</f>
        <v>3.3333333333333335</v>
      </c>
      <c r="AC18" s="53">
        <f t="shared" ref="AC18" si="104">SUM(AC15:AC17)</f>
        <v>3.3333333333333339</v>
      </c>
      <c r="AD18" s="78">
        <f>SUM(AD15:AD17)</f>
        <v>40</v>
      </c>
      <c r="AE18" s="52">
        <f t="shared" ref="AE18" si="105">SUM(AE15:AE17)</f>
        <v>6.666666666666667</v>
      </c>
      <c r="AF18" s="53">
        <f t="shared" ref="AF18" si="106">SUM(AF15:AF17)</f>
        <v>6.666666666666667</v>
      </c>
      <c r="AG18" s="53">
        <f t="shared" ref="AG18" si="107">SUM(AG15:AG17)</f>
        <v>6.666666666666667</v>
      </c>
      <c r="AH18" s="53">
        <f t="shared" ref="AH18" si="108">SUM(AH15:AH17)</f>
        <v>6.666666666666667</v>
      </c>
      <c r="AI18" s="53">
        <f t="shared" ref="AI18" si="109">SUM(AI15:AI17)</f>
        <v>6.666666666666667</v>
      </c>
      <c r="AJ18" s="53">
        <f t="shared" ref="AJ18" si="110">SUM(AJ15:AJ17)</f>
        <v>6.666666666666667</v>
      </c>
      <c r="AK18" s="53">
        <f t="shared" ref="AK18" si="111">SUM(AK15:AK17)</f>
        <v>6.666666666666667</v>
      </c>
      <c r="AL18" s="53">
        <f t="shared" ref="AL18" si="112">SUM(AL15:AL17)</f>
        <v>6.666666666666667</v>
      </c>
      <c r="AM18" s="53">
        <f t="shared" ref="AM18" si="113">SUM(AM15:AM17)</f>
        <v>6.666666666666667</v>
      </c>
      <c r="AN18" s="53">
        <f t="shared" ref="AN18" si="114">SUM(AN15:AN17)</f>
        <v>6.666666666666667</v>
      </c>
      <c r="AO18" s="53">
        <f t="shared" ref="AO18" si="115">SUM(AO15:AO17)</f>
        <v>6.666666666666667</v>
      </c>
      <c r="AP18" s="53">
        <f t="shared" ref="AP18" si="116">SUM(AP15:AP17)</f>
        <v>6.6666666666666679</v>
      </c>
      <c r="AQ18" s="65">
        <f t="shared" ref="AQ18:BQ18" si="117">SUM(AQ15:AQ17)</f>
        <v>80</v>
      </c>
      <c r="AR18" s="52">
        <f t="shared" ref="AR18" si="118">SUM(AR15:AR17)</f>
        <v>9.6</v>
      </c>
      <c r="AS18" s="53">
        <f t="shared" ref="AS18" si="119">SUM(AS15:AS17)</f>
        <v>9.6</v>
      </c>
      <c r="AT18" s="53">
        <f t="shared" ref="AT18" si="120">SUM(AT15:AT17)</f>
        <v>9.6</v>
      </c>
      <c r="AU18" s="53">
        <f t="shared" ref="AU18" si="121">SUM(AU15:AU17)</f>
        <v>9.6</v>
      </c>
      <c r="AV18" s="53">
        <f t="shared" ref="AV18" si="122">SUM(AV15:AV17)</f>
        <v>9.6</v>
      </c>
      <c r="AW18" s="53">
        <f t="shared" ref="AW18" si="123">SUM(AW15:AW17)</f>
        <v>9.6</v>
      </c>
      <c r="AX18" s="53">
        <f t="shared" ref="AX18" si="124">SUM(AX15:AX17)</f>
        <v>9.6</v>
      </c>
      <c r="AY18" s="53">
        <f t="shared" ref="AY18" si="125">SUM(AY15:AY17)</f>
        <v>9.6</v>
      </c>
      <c r="AZ18" s="53">
        <f t="shared" ref="AZ18" si="126">SUM(AZ15:AZ17)</f>
        <v>9.6</v>
      </c>
      <c r="BA18" s="53">
        <f t="shared" ref="BA18" si="127">SUM(BA15:BA17)</f>
        <v>9.6</v>
      </c>
      <c r="BB18" s="53">
        <f t="shared" ref="BB18" si="128">SUM(BB15:BB17)</f>
        <v>9.6</v>
      </c>
      <c r="BC18" s="53">
        <f t="shared" ref="BC18" si="129">SUM(BC15:BC17)</f>
        <v>9.5999999999999872</v>
      </c>
      <c r="BD18" s="84">
        <f t="shared" si="117"/>
        <v>115.19999999999999</v>
      </c>
      <c r="BE18" s="52">
        <f t="shared" ref="BE18" si="130">SUM(BE15:BE17)</f>
        <v>12.133333333333333</v>
      </c>
      <c r="BF18" s="53">
        <f t="shared" ref="BF18" si="131">SUM(BF15:BF17)</f>
        <v>12.133333333333333</v>
      </c>
      <c r="BG18" s="53">
        <f t="shared" ref="BG18" si="132">SUM(BG15:BG17)</f>
        <v>12.133333333333333</v>
      </c>
      <c r="BH18" s="53">
        <f t="shared" ref="BH18" si="133">SUM(BH15:BH17)</f>
        <v>12.133333333333333</v>
      </c>
      <c r="BI18" s="53">
        <f t="shared" ref="BI18" si="134">SUM(BI15:BI17)</f>
        <v>12.133333333333333</v>
      </c>
      <c r="BJ18" s="53">
        <f t="shared" ref="BJ18" si="135">SUM(BJ15:BJ17)</f>
        <v>12.133333333333333</v>
      </c>
      <c r="BK18" s="53">
        <f t="shared" ref="BK18" si="136">SUM(BK15:BK17)</f>
        <v>12.133333333333333</v>
      </c>
      <c r="BL18" s="53">
        <f t="shared" ref="BL18" si="137">SUM(BL15:BL17)</f>
        <v>12.133333333333333</v>
      </c>
      <c r="BM18" s="53">
        <f t="shared" ref="BM18" si="138">SUM(BM15:BM17)</f>
        <v>12.133333333333333</v>
      </c>
      <c r="BN18" s="53">
        <f t="shared" ref="BN18" si="139">SUM(BN15:BN17)</f>
        <v>12.133333333333333</v>
      </c>
      <c r="BO18" s="53">
        <f t="shared" ref="BO18" si="140">SUM(BO15:BO17)</f>
        <v>12.133333333333333</v>
      </c>
      <c r="BP18" s="53">
        <f t="shared" ref="BP18" si="141">SUM(BP15:BP17)</f>
        <v>12.133333333333347</v>
      </c>
      <c r="BQ18" s="90">
        <f t="shared" si="117"/>
        <v>145.6</v>
      </c>
    </row>
    <row r="19" spans="2:124" s="1" customFormat="1" x14ac:dyDescent="0.25">
      <c r="B19" s="26" t="s">
        <v>3</v>
      </c>
      <c r="C19" s="191"/>
      <c r="E19" s="104">
        <f t="shared" ref="E19:P19" si="142">E13-E18</f>
        <v>2.4187500000000002</v>
      </c>
      <c r="F19" s="49">
        <f t="shared" si="142"/>
        <v>2.4187500000000002</v>
      </c>
      <c r="G19" s="49">
        <f t="shared" si="142"/>
        <v>2.4187500000000002</v>
      </c>
      <c r="H19" s="49">
        <f t="shared" si="142"/>
        <v>2.4187500000000002</v>
      </c>
      <c r="I19" s="49">
        <f t="shared" si="142"/>
        <v>2.4187500000000002</v>
      </c>
      <c r="J19" s="49">
        <f t="shared" si="142"/>
        <v>2.4187500000000002</v>
      </c>
      <c r="K19" s="49">
        <f t="shared" si="142"/>
        <v>2.4187500000000002</v>
      </c>
      <c r="L19" s="49">
        <f t="shared" si="142"/>
        <v>2.4187500000000002</v>
      </c>
      <c r="M19" s="49">
        <f t="shared" si="142"/>
        <v>2.4187500000000002</v>
      </c>
      <c r="N19" s="49">
        <f t="shared" si="142"/>
        <v>2.4187500000000002</v>
      </c>
      <c r="O19" s="49">
        <f t="shared" si="142"/>
        <v>2.4187500000000002</v>
      </c>
      <c r="P19" s="105">
        <f t="shared" si="142"/>
        <v>2.4187499999999993</v>
      </c>
      <c r="Q19" s="69">
        <f>Q13-Q18</f>
        <v>29.024999999999999</v>
      </c>
      <c r="R19" s="48">
        <f t="shared" ref="R19" si="143">R13-R18</f>
        <v>4.4791666666666661</v>
      </c>
      <c r="S19" s="49">
        <f t="shared" ref="S19" si="144">S13-S18</f>
        <v>4.4791666666666661</v>
      </c>
      <c r="T19" s="49">
        <f t="shared" ref="T19" si="145">T13-T18</f>
        <v>4.4791666666666661</v>
      </c>
      <c r="U19" s="49">
        <f t="shared" ref="U19" si="146">U13-U18</f>
        <v>4.4791666666666661</v>
      </c>
      <c r="V19" s="49">
        <f t="shared" ref="V19" si="147">V13-V18</f>
        <v>4.4791666666666661</v>
      </c>
      <c r="W19" s="49">
        <f t="shared" ref="W19" si="148">W13-W18</f>
        <v>4.4791666666666661</v>
      </c>
      <c r="X19" s="49">
        <f t="shared" ref="X19" si="149">X13-X18</f>
        <v>4.4791666666666661</v>
      </c>
      <c r="Y19" s="49">
        <f t="shared" ref="Y19" si="150">Y13-Y18</f>
        <v>4.4791666666666661</v>
      </c>
      <c r="Z19" s="49">
        <f t="shared" ref="Z19" si="151">Z13-Z18</f>
        <v>4.4791666666666661</v>
      </c>
      <c r="AA19" s="49">
        <f t="shared" ref="AA19" si="152">AA13-AA18</f>
        <v>4.4791666666666661</v>
      </c>
      <c r="AB19" s="49">
        <f t="shared" ref="AB19" si="153">AB13-AB18</f>
        <v>4.4791666666666661</v>
      </c>
      <c r="AC19" s="49">
        <f t="shared" ref="AC19" si="154">AC13-AC18</f>
        <v>4.479166666666659</v>
      </c>
      <c r="AD19" s="76">
        <f>AD13-AD18</f>
        <v>53.75</v>
      </c>
      <c r="AE19" s="48">
        <f t="shared" ref="AE19" si="155">AE13-AE18</f>
        <v>8.9583333333333321</v>
      </c>
      <c r="AF19" s="49">
        <f t="shared" ref="AF19" si="156">AF13-AF18</f>
        <v>8.9583333333333321</v>
      </c>
      <c r="AG19" s="49">
        <f t="shared" ref="AG19" si="157">AG13-AG18</f>
        <v>8.9583333333333321</v>
      </c>
      <c r="AH19" s="49">
        <f t="shared" ref="AH19" si="158">AH13-AH18</f>
        <v>8.9583333333333321</v>
      </c>
      <c r="AI19" s="49">
        <f t="shared" ref="AI19" si="159">AI13-AI18</f>
        <v>8.9583333333333321</v>
      </c>
      <c r="AJ19" s="49">
        <f t="shared" ref="AJ19" si="160">AJ13-AJ18</f>
        <v>8.9583333333333321</v>
      </c>
      <c r="AK19" s="49">
        <f t="shared" ref="AK19" si="161">AK13-AK18</f>
        <v>8.9583333333333321</v>
      </c>
      <c r="AL19" s="49">
        <f t="shared" ref="AL19" si="162">AL13-AL18</f>
        <v>8.9583333333333321</v>
      </c>
      <c r="AM19" s="49">
        <f t="shared" ref="AM19" si="163">AM13-AM18</f>
        <v>8.9583333333333321</v>
      </c>
      <c r="AN19" s="49">
        <f t="shared" ref="AN19" si="164">AN13-AN18</f>
        <v>8.9583333333333321</v>
      </c>
      <c r="AO19" s="49">
        <f t="shared" ref="AO19" si="165">AO13-AO18</f>
        <v>8.9583333333333321</v>
      </c>
      <c r="AP19" s="49">
        <f t="shared" ref="AP19" si="166">AP13-AP18</f>
        <v>8.9583333333333179</v>
      </c>
      <c r="AQ19" s="63">
        <f t="shared" ref="AQ19:BQ19" si="167">AQ13-AQ18</f>
        <v>107.5</v>
      </c>
      <c r="AR19" s="48">
        <f t="shared" ref="AR19" si="168">AR13-AR18</f>
        <v>12.9</v>
      </c>
      <c r="AS19" s="49">
        <f t="shared" ref="AS19" si="169">AS13-AS18</f>
        <v>12.9</v>
      </c>
      <c r="AT19" s="49">
        <f t="shared" ref="AT19" si="170">AT13-AT18</f>
        <v>12.9</v>
      </c>
      <c r="AU19" s="49">
        <f t="shared" ref="AU19" si="171">AU13-AU18</f>
        <v>12.9</v>
      </c>
      <c r="AV19" s="49">
        <f t="shared" ref="AV19" si="172">AV13-AV18</f>
        <v>12.9</v>
      </c>
      <c r="AW19" s="49">
        <f t="shared" ref="AW19" si="173">AW13-AW18</f>
        <v>12.9</v>
      </c>
      <c r="AX19" s="49">
        <f t="shared" ref="AX19" si="174">AX13-AX18</f>
        <v>12.9</v>
      </c>
      <c r="AY19" s="49">
        <f t="shared" ref="AY19" si="175">AY13-AY18</f>
        <v>12.9</v>
      </c>
      <c r="AZ19" s="49">
        <f t="shared" ref="AZ19" si="176">AZ13-AZ18</f>
        <v>12.9</v>
      </c>
      <c r="BA19" s="49">
        <f t="shared" ref="BA19" si="177">BA13-BA18</f>
        <v>12.9</v>
      </c>
      <c r="BB19" s="49">
        <f t="shared" ref="BB19" si="178">BB13-BB18</f>
        <v>12.9</v>
      </c>
      <c r="BC19" s="49">
        <f t="shared" ref="BC19" si="179">BC13-BC18</f>
        <v>12.900000000000013</v>
      </c>
      <c r="BD19" s="82">
        <f t="shared" si="167"/>
        <v>154.80000000000001</v>
      </c>
      <c r="BE19" s="48">
        <f t="shared" ref="BE19" si="180">BE13-BE18</f>
        <v>16.304166666666667</v>
      </c>
      <c r="BF19" s="49">
        <f t="shared" ref="BF19" si="181">BF13-BF18</f>
        <v>16.304166666666667</v>
      </c>
      <c r="BG19" s="49">
        <f t="shared" ref="BG19" si="182">BG13-BG18</f>
        <v>16.304166666666667</v>
      </c>
      <c r="BH19" s="49">
        <f t="shared" ref="BH19" si="183">BH13-BH18</f>
        <v>16.304166666666667</v>
      </c>
      <c r="BI19" s="49">
        <f t="shared" ref="BI19" si="184">BI13-BI18</f>
        <v>16.304166666666667</v>
      </c>
      <c r="BJ19" s="49">
        <f t="shared" ref="BJ19" si="185">BJ13-BJ18</f>
        <v>16.304166666666667</v>
      </c>
      <c r="BK19" s="49">
        <f t="shared" ref="BK19" si="186">BK13-BK18</f>
        <v>16.304166666666667</v>
      </c>
      <c r="BL19" s="49">
        <f t="shared" ref="BL19" si="187">BL13-BL18</f>
        <v>16.304166666666667</v>
      </c>
      <c r="BM19" s="49">
        <f t="shared" ref="BM19" si="188">BM13-BM18</f>
        <v>16.304166666666667</v>
      </c>
      <c r="BN19" s="49">
        <f t="shared" ref="BN19" si="189">BN13-BN18</f>
        <v>16.304166666666667</v>
      </c>
      <c r="BO19" s="49">
        <f t="shared" ref="BO19" si="190">BO13-BO18</f>
        <v>16.304166666666667</v>
      </c>
      <c r="BP19" s="49">
        <f t="shared" ref="BP19" si="191">BP13-BP18</f>
        <v>16.304166666666625</v>
      </c>
      <c r="BQ19" s="88">
        <f t="shared" si="167"/>
        <v>195.65</v>
      </c>
    </row>
    <row r="20" spans="2:124" x14ac:dyDescent="0.25">
      <c r="B20" s="35" t="s">
        <v>9</v>
      </c>
      <c r="C20" s="193">
        <v>0.15</v>
      </c>
      <c r="E20" s="99">
        <f t="shared" ref="E20" si="192">Q20/12</f>
        <v>0.84375</v>
      </c>
      <c r="F20" s="51">
        <f>E20</f>
        <v>0.84375</v>
      </c>
      <c r="G20" s="51">
        <f t="shared" ref="G20:O20" si="193">F20</f>
        <v>0.84375</v>
      </c>
      <c r="H20" s="51">
        <f t="shared" si="193"/>
        <v>0.84375</v>
      </c>
      <c r="I20" s="51">
        <f t="shared" si="193"/>
        <v>0.84375</v>
      </c>
      <c r="J20" s="51">
        <f t="shared" si="193"/>
        <v>0.84375</v>
      </c>
      <c r="K20" s="51">
        <f t="shared" si="193"/>
        <v>0.84375</v>
      </c>
      <c r="L20" s="51">
        <f t="shared" si="193"/>
        <v>0.84375</v>
      </c>
      <c r="M20" s="51">
        <f t="shared" si="193"/>
        <v>0.84375</v>
      </c>
      <c r="N20" s="51">
        <f t="shared" si="193"/>
        <v>0.84375</v>
      </c>
      <c r="O20" s="51">
        <f t="shared" si="193"/>
        <v>0.84375</v>
      </c>
      <c r="P20" s="106">
        <f>Q20-SUM(E20:O20)</f>
        <v>0.84375</v>
      </c>
      <c r="Q20" s="70">
        <f>$C20*Q$11</f>
        <v>10.125</v>
      </c>
      <c r="R20" s="50">
        <f t="shared" ref="R20" si="194">AD20/12</f>
        <v>1.5625</v>
      </c>
      <c r="S20" s="51">
        <f>R20</f>
        <v>1.5625</v>
      </c>
      <c r="T20" s="51">
        <f t="shared" ref="T20:AB20" si="195">S20</f>
        <v>1.5625</v>
      </c>
      <c r="U20" s="51">
        <f t="shared" si="195"/>
        <v>1.5625</v>
      </c>
      <c r="V20" s="51">
        <f t="shared" si="195"/>
        <v>1.5625</v>
      </c>
      <c r="W20" s="51">
        <f t="shared" si="195"/>
        <v>1.5625</v>
      </c>
      <c r="X20" s="51">
        <f t="shared" si="195"/>
        <v>1.5625</v>
      </c>
      <c r="Y20" s="51">
        <f t="shared" si="195"/>
        <v>1.5625</v>
      </c>
      <c r="Z20" s="51">
        <f t="shared" si="195"/>
        <v>1.5625</v>
      </c>
      <c r="AA20" s="51">
        <f t="shared" si="195"/>
        <v>1.5625</v>
      </c>
      <c r="AB20" s="51">
        <f t="shared" si="195"/>
        <v>1.5625</v>
      </c>
      <c r="AC20" s="51">
        <f>AD20-SUM(R20:AB20)</f>
        <v>1.5625</v>
      </c>
      <c r="AD20" s="77">
        <f>$C20*AD$11</f>
        <v>18.75</v>
      </c>
      <c r="AE20" s="50">
        <f t="shared" ref="AE20" si="196">AQ20/12</f>
        <v>3.125</v>
      </c>
      <c r="AF20" s="51">
        <f>AE20</f>
        <v>3.125</v>
      </c>
      <c r="AG20" s="51">
        <f t="shared" ref="AG20:AO20" si="197">AF20</f>
        <v>3.125</v>
      </c>
      <c r="AH20" s="51">
        <f t="shared" si="197"/>
        <v>3.125</v>
      </c>
      <c r="AI20" s="51">
        <f t="shared" si="197"/>
        <v>3.125</v>
      </c>
      <c r="AJ20" s="51">
        <f t="shared" si="197"/>
        <v>3.125</v>
      </c>
      <c r="AK20" s="51">
        <f t="shared" si="197"/>
        <v>3.125</v>
      </c>
      <c r="AL20" s="51">
        <f t="shared" si="197"/>
        <v>3.125</v>
      </c>
      <c r="AM20" s="51">
        <f t="shared" si="197"/>
        <v>3.125</v>
      </c>
      <c r="AN20" s="51">
        <f t="shared" si="197"/>
        <v>3.125</v>
      </c>
      <c r="AO20" s="51">
        <f t="shared" si="197"/>
        <v>3.125</v>
      </c>
      <c r="AP20" s="51">
        <f>AQ20-SUM(AE20:AO20)</f>
        <v>3.125</v>
      </c>
      <c r="AQ20" s="64">
        <f>$C20*AQ$11</f>
        <v>37.5</v>
      </c>
      <c r="AR20" s="50">
        <f t="shared" ref="AR20" si="198">BD20/12</f>
        <v>4.5</v>
      </c>
      <c r="AS20" s="51">
        <f>AR20</f>
        <v>4.5</v>
      </c>
      <c r="AT20" s="51">
        <f t="shared" ref="AT20:BB20" si="199">AS20</f>
        <v>4.5</v>
      </c>
      <c r="AU20" s="51">
        <f t="shared" si="199"/>
        <v>4.5</v>
      </c>
      <c r="AV20" s="51">
        <f t="shared" si="199"/>
        <v>4.5</v>
      </c>
      <c r="AW20" s="51">
        <f t="shared" si="199"/>
        <v>4.5</v>
      </c>
      <c r="AX20" s="51">
        <f t="shared" si="199"/>
        <v>4.5</v>
      </c>
      <c r="AY20" s="51">
        <f t="shared" si="199"/>
        <v>4.5</v>
      </c>
      <c r="AZ20" s="51">
        <f t="shared" si="199"/>
        <v>4.5</v>
      </c>
      <c r="BA20" s="51">
        <f t="shared" si="199"/>
        <v>4.5</v>
      </c>
      <c r="BB20" s="51">
        <f t="shared" si="199"/>
        <v>4.5</v>
      </c>
      <c r="BC20" s="51">
        <f>BD20-SUM(AR20:BB20)</f>
        <v>4.5</v>
      </c>
      <c r="BD20" s="83">
        <f>$C20*BD$11</f>
        <v>54</v>
      </c>
      <c r="BE20" s="50">
        <f t="shared" ref="BE20" si="200">BQ20/12</f>
        <v>5.6875</v>
      </c>
      <c r="BF20" s="51">
        <f>BE20</f>
        <v>5.6875</v>
      </c>
      <c r="BG20" s="51">
        <f t="shared" ref="BG20:BO20" si="201">BF20</f>
        <v>5.6875</v>
      </c>
      <c r="BH20" s="51">
        <f t="shared" si="201"/>
        <v>5.6875</v>
      </c>
      <c r="BI20" s="51">
        <f t="shared" si="201"/>
        <v>5.6875</v>
      </c>
      <c r="BJ20" s="51">
        <f t="shared" si="201"/>
        <v>5.6875</v>
      </c>
      <c r="BK20" s="51">
        <f t="shared" si="201"/>
        <v>5.6875</v>
      </c>
      <c r="BL20" s="51">
        <f t="shared" si="201"/>
        <v>5.6875</v>
      </c>
      <c r="BM20" s="51">
        <f t="shared" si="201"/>
        <v>5.6875</v>
      </c>
      <c r="BN20" s="51">
        <f t="shared" si="201"/>
        <v>5.6875</v>
      </c>
      <c r="BO20" s="51">
        <f t="shared" si="201"/>
        <v>5.6875</v>
      </c>
      <c r="BP20" s="51">
        <f>BQ20-SUM(BE20:BO20)</f>
        <v>5.6875</v>
      </c>
      <c r="BQ20" s="89">
        <f>$C20*BQ$11</f>
        <v>68.25</v>
      </c>
      <c r="BY20" s="153"/>
      <c r="BZ20" s="153"/>
      <c r="CA20" s="153"/>
      <c r="CB20" s="153"/>
      <c r="CC20" s="153"/>
      <c r="CD20" s="153"/>
      <c r="CE20" s="153"/>
      <c r="CF20" s="153"/>
      <c r="CG20" s="153"/>
      <c r="CH20" s="153"/>
      <c r="CI20" s="153"/>
      <c r="CJ20" s="153"/>
      <c r="CK20" s="153"/>
      <c r="CL20" s="153"/>
      <c r="CM20" s="153"/>
      <c r="CN20" s="153"/>
      <c r="CO20" s="153"/>
      <c r="CP20" s="153"/>
      <c r="CQ20" s="153"/>
      <c r="CR20" s="153"/>
      <c r="CS20" s="153"/>
      <c r="CT20" s="153"/>
      <c r="CU20" s="153"/>
      <c r="CV20" s="153"/>
      <c r="CW20" s="153"/>
      <c r="CX20" s="153"/>
      <c r="CY20" s="153"/>
      <c r="CZ20" s="153"/>
      <c r="DA20" s="153"/>
      <c r="DB20" s="153"/>
      <c r="DC20" s="153"/>
      <c r="DD20" s="153"/>
      <c r="DE20" s="153"/>
      <c r="DF20" s="153"/>
      <c r="DG20" s="153"/>
      <c r="DH20" s="153"/>
      <c r="DI20" s="153"/>
      <c r="DJ20" s="153"/>
      <c r="DK20" s="153"/>
      <c r="DL20" s="153"/>
      <c r="DM20" s="153"/>
      <c r="DN20" s="153"/>
      <c r="DO20" s="153"/>
      <c r="DP20" s="153"/>
      <c r="DQ20" s="153"/>
      <c r="DR20" s="153"/>
      <c r="DS20" s="153"/>
      <c r="DT20" s="153"/>
    </row>
    <row r="21" spans="2:124" s="1" customFormat="1" x14ac:dyDescent="0.25">
      <c r="B21" s="26" t="s">
        <v>4</v>
      </c>
      <c r="C21" s="191"/>
      <c r="E21" s="104">
        <f t="shared" ref="E21:P21" si="202">E19-E20</f>
        <v>1.5750000000000002</v>
      </c>
      <c r="F21" s="49">
        <f t="shared" si="202"/>
        <v>1.5750000000000002</v>
      </c>
      <c r="G21" s="49">
        <f t="shared" si="202"/>
        <v>1.5750000000000002</v>
      </c>
      <c r="H21" s="49">
        <f t="shared" si="202"/>
        <v>1.5750000000000002</v>
      </c>
      <c r="I21" s="49">
        <f t="shared" si="202"/>
        <v>1.5750000000000002</v>
      </c>
      <c r="J21" s="49">
        <f t="shared" si="202"/>
        <v>1.5750000000000002</v>
      </c>
      <c r="K21" s="49">
        <f t="shared" si="202"/>
        <v>1.5750000000000002</v>
      </c>
      <c r="L21" s="49">
        <f t="shared" si="202"/>
        <v>1.5750000000000002</v>
      </c>
      <c r="M21" s="49">
        <f t="shared" si="202"/>
        <v>1.5750000000000002</v>
      </c>
      <c r="N21" s="49">
        <f t="shared" si="202"/>
        <v>1.5750000000000002</v>
      </c>
      <c r="O21" s="49">
        <f t="shared" si="202"/>
        <v>1.5750000000000002</v>
      </c>
      <c r="P21" s="105">
        <f t="shared" si="202"/>
        <v>1.5749999999999993</v>
      </c>
      <c r="Q21" s="69">
        <f>Q19-Q20</f>
        <v>18.899999999999999</v>
      </c>
      <c r="R21" s="48">
        <f t="shared" ref="R21" si="203">R19-R20</f>
        <v>2.9166666666666661</v>
      </c>
      <c r="S21" s="49">
        <f t="shared" ref="S21" si="204">S19-S20</f>
        <v>2.9166666666666661</v>
      </c>
      <c r="T21" s="49">
        <f t="shared" ref="T21" si="205">T19-T20</f>
        <v>2.9166666666666661</v>
      </c>
      <c r="U21" s="49">
        <f t="shared" ref="U21" si="206">U19-U20</f>
        <v>2.9166666666666661</v>
      </c>
      <c r="V21" s="49">
        <f t="shared" ref="V21" si="207">V19-V20</f>
        <v>2.9166666666666661</v>
      </c>
      <c r="W21" s="49">
        <f t="shared" ref="W21" si="208">W19-W20</f>
        <v>2.9166666666666661</v>
      </c>
      <c r="X21" s="49">
        <f t="shared" ref="X21" si="209">X19-X20</f>
        <v>2.9166666666666661</v>
      </c>
      <c r="Y21" s="49">
        <f t="shared" ref="Y21" si="210">Y19-Y20</f>
        <v>2.9166666666666661</v>
      </c>
      <c r="Z21" s="49">
        <f t="shared" ref="Z21" si="211">Z19-Z20</f>
        <v>2.9166666666666661</v>
      </c>
      <c r="AA21" s="49">
        <f t="shared" ref="AA21" si="212">AA19-AA20</f>
        <v>2.9166666666666661</v>
      </c>
      <c r="AB21" s="49">
        <f t="shared" ref="AB21" si="213">AB19-AB20</f>
        <v>2.9166666666666661</v>
      </c>
      <c r="AC21" s="49">
        <f t="shared" ref="AC21" si="214">AC19-AC20</f>
        <v>2.916666666666659</v>
      </c>
      <c r="AD21" s="76">
        <f>AD19-AD20</f>
        <v>35</v>
      </c>
      <c r="AE21" s="48">
        <f t="shared" ref="AE21" si="215">AE19-AE20</f>
        <v>5.8333333333333321</v>
      </c>
      <c r="AF21" s="49">
        <f t="shared" ref="AF21" si="216">AF19-AF20</f>
        <v>5.8333333333333321</v>
      </c>
      <c r="AG21" s="49">
        <f t="shared" ref="AG21" si="217">AG19-AG20</f>
        <v>5.8333333333333321</v>
      </c>
      <c r="AH21" s="49">
        <f t="shared" ref="AH21" si="218">AH19-AH20</f>
        <v>5.8333333333333321</v>
      </c>
      <c r="AI21" s="49">
        <f t="shared" ref="AI21" si="219">AI19-AI20</f>
        <v>5.8333333333333321</v>
      </c>
      <c r="AJ21" s="49">
        <f t="shared" ref="AJ21" si="220">AJ19-AJ20</f>
        <v>5.8333333333333321</v>
      </c>
      <c r="AK21" s="49">
        <f t="shared" ref="AK21" si="221">AK19-AK20</f>
        <v>5.8333333333333321</v>
      </c>
      <c r="AL21" s="49">
        <f t="shared" ref="AL21" si="222">AL19-AL20</f>
        <v>5.8333333333333321</v>
      </c>
      <c r="AM21" s="49">
        <f t="shared" ref="AM21" si="223">AM19-AM20</f>
        <v>5.8333333333333321</v>
      </c>
      <c r="AN21" s="49">
        <f t="shared" ref="AN21" si="224">AN19-AN20</f>
        <v>5.8333333333333321</v>
      </c>
      <c r="AO21" s="49">
        <f t="shared" ref="AO21" si="225">AO19-AO20</f>
        <v>5.8333333333333321</v>
      </c>
      <c r="AP21" s="49">
        <f t="shared" ref="AP21" si="226">AP19-AP20</f>
        <v>5.8333333333333179</v>
      </c>
      <c r="AQ21" s="63">
        <f t="shared" ref="AQ21:BQ21" si="227">AQ19-AQ20</f>
        <v>70</v>
      </c>
      <c r="AR21" s="48">
        <f t="shared" ref="AR21" si="228">AR19-AR20</f>
        <v>8.4</v>
      </c>
      <c r="AS21" s="49">
        <f t="shared" ref="AS21" si="229">AS19-AS20</f>
        <v>8.4</v>
      </c>
      <c r="AT21" s="49">
        <f t="shared" ref="AT21" si="230">AT19-AT20</f>
        <v>8.4</v>
      </c>
      <c r="AU21" s="49">
        <f t="shared" ref="AU21" si="231">AU19-AU20</f>
        <v>8.4</v>
      </c>
      <c r="AV21" s="49">
        <f t="shared" ref="AV21" si="232">AV19-AV20</f>
        <v>8.4</v>
      </c>
      <c r="AW21" s="49">
        <f t="shared" ref="AW21" si="233">AW19-AW20</f>
        <v>8.4</v>
      </c>
      <c r="AX21" s="49">
        <f t="shared" ref="AX21" si="234">AX19-AX20</f>
        <v>8.4</v>
      </c>
      <c r="AY21" s="49">
        <f t="shared" ref="AY21" si="235">AY19-AY20</f>
        <v>8.4</v>
      </c>
      <c r="AZ21" s="49">
        <f t="shared" ref="AZ21" si="236">AZ19-AZ20</f>
        <v>8.4</v>
      </c>
      <c r="BA21" s="49">
        <f t="shared" ref="BA21" si="237">BA19-BA20</f>
        <v>8.4</v>
      </c>
      <c r="BB21" s="49">
        <f t="shared" ref="BB21" si="238">BB19-BB20</f>
        <v>8.4</v>
      </c>
      <c r="BC21" s="49">
        <f t="shared" ref="BC21" si="239">BC19-BC20</f>
        <v>8.4000000000000128</v>
      </c>
      <c r="BD21" s="82">
        <f t="shared" si="227"/>
        <v>100.80000000000001</v>
      </c>
      <c r="BE21" s="48">
        <f t="shared" ref="BE21" si="240">BE19-BE20</f>
        <v>10.616666666666667</v>
      </c>
      <c r="BF21" s="49">
        <f t="shared" ref="BF21" si="241">BF19-BF20</f>
        <v>10.616666666666667</v>
      </c>
      <c r="BG21" s="49">
        <f t="shared" ref="BG21" si="242">BG19-BG20</f>
        <v>10.616666666666667</v>
      </c>
      <c r="BH21" s="49">
        <f t="shared" ref="BH21" si="243">BH19-BH20</f>
        <v>10.616666666666667</v>
      </c>
      <c r="BI21" s="49">
        <f t="shared" ref="BI21" si="244">BI19-BI20</f>
        <v>10.616666666666667</v>
      </c>
      <c r="BJ21" s="49">
        <f t="shared" ref="BJ21" si="245">BJ19-BJ20</f>
        <v>10.616666666666667</v>
      </c>
      <c r="BK21" s="49">
        <f t="shared" ref="BK21" si="246">BK19-BK20</f>
        <v>10.616666666666667</v>
      </c>
      <c r="BL21" s="49">
        <f t="shared" ref="BL21" si="247">BL19-BL20</f>
        <v>10.616666666666667</v>
      </c>
      <c r="BM21" s="49">
        <f t="shared" ref="BM21" si="248">BM19-BM20</f>
        <v>10.616666666666667</v>
      </c>
      <c r="BN21" s="49">
        <f t="shared" ref="BN21" si="249">BN19-BN20</f>
        <v>10.616666666666667</v>
      </c>
      <c r="BO21" s="49">
        <f t="shared" ref="BO21" si="250">BO19-BO20</f>
        <v>10.616666666666667</v>
      </c>
      <c r="BP21" s="49">
        <f t="shared" ref="BP21" si="251">BP19-BP20</f>
        <v>10.616666666666625</v>
      </c>
      <c r="BQ21" s="88">
        <f t="shared" si="227"/>
        <v>127.4</v>
      </c>
      <c r="BS21" s="214"/>
      <c r="BT21" s="215" t="str">
        <f>PROPER($Q$2)</f>
        <v>Year 1</v>
      </c>
      <c r="BU21" s="215" t="str">
        <f>PROPER($AD$2)</f>
        <v>Year 2</v>
      </c>
      <c r="BV21" s="215" t="str">
        <f>PROPER($AQ$2)</f>
        <v>Year 3</v>
      </c>
      <c r="BW21" s="215" t="str">
        <f>PROPER($BD$2)</f>
        <v>Year 4</v>
      </c>
      <c r="BX21" s="216" t="str">
        <f>PROPER($BQ$2)</f>
        <v>Year 5</v>
      </c>
    </row>
    <row r="22" spans="2:124" x14ac:dyDescent="0.25">
      <c r="B22" s="35" t="s">
        <v>15</v>
      </c>
      <c r="C22" s="193">
        <v>0.125</v>
      </c>
      <c r="E22" s="99">
        <f t="shared" ref="E22:E23" si="252">Q22/12</f>
        <v>0.703125</v>
      </c>
      <c r="F22" s="51">
        <f>E22</f>
        <v>0.703125</v>
      </c>
      <c r="G22" s="51">
        <f t="shared" ref="G22:O23" si="253">F22</f>
        <v>0.703125</v>
      </c>
      <c r="H22" s="51">
        <f t="shared" si="253"/>
        <v>0.703125</v>
      </c>
      <c r="I22" s="51">
        <f t="shared" si="253"/>
        <v>0.703125</v>
      </c>
      <c r="J22" s="51">
        <f t="shared" si="253"/>
        <v>0.703125</v>
      </c>
      <c r="K22" s="51">
        <f t="shared" si="253"/>
        <v>0.703125</v>
      </c>
      <c r="L22" s="51">
        <f t="shared" si="253"/>
        <v>0.703125</v>
      </c>
      <c r="M22" s="51">
        <f t="shared" si="253"/>
        <v>0.703125</v>
      </c>
      <c r="N22" s="51">
        <f t="shared" si="253"/>
        <v>0.703125</v>
      </c>
      <c r="O22" s="51">
        <f t="shared" si="253"/>
        <v>0.703125</v>
      </c>
      <c r="P22" s="106">
        <f>Q22-SUM(E22:O22)</f>
        <v>0.703125</v>
      </c>
      <c r="Q22" s="70">
        <f>$C22*Q$11</f>
        <v>8.4375</v>
      </c>
      <c r="R22" s="50">
        <f t="shared" ref="R22:R23" si="254">AD22/12</f>
        <v>1.3020833333333333</v>
      </c>
      <c r="S22" s="51">
        <f>R22</f>
        <v>1.3020833333333333</v>
      </c>
      <c r="T22" s="51">
        <f t="shared" ref="T22:AB22" si="255">S22</f>
        <v>1.3020833333333333</v>
      </c>
      <c r="U22" s="51">
        <f t="shared" si="255"/>
        <v>1.3020833333333333</v>
      </c>
      <c r="V22" s="51">
        <f t="shared" si="255"/>
        <v>1.3020833333333333</v>
      </c>
      <c r="W22" s="51">
        <f t="shared" si="255"/>
        <v>1.3020833333333333</v>
      </c>
      <c r="X22" s="51">
        <f t="shared" si="255"/>
        <v>1.3020833333333333</v>
      </c>
      <c r="Y22" s="51">
        <f t="shared" si="255"/>
        <v>1.3020833333333333</v>
      </c>
      <c r="Z22" s="51">
        <f t="shared" si="255"/>
        <v>1.3020833333333333</v>
      </c>
      <c r="AA22" s="51">
        <f t="shared" si="255"/>
        <v>1.3020833333333333</v>
      </c>
      <c r="AB22" s="51">
        <f t="shared" si="255"/>
        <v>1.3020833333333333</v>
      </c>
      <c r="AC22" s="51">
        <f>AD22-SUM(R22:AB22)</f>
        <v>1.3020833333333321</v>
      </c>
      <c r="AD22" s="77">
        <f>$C22*AD$11</f>
        <v>15.625</v>
      </c>
      <c r="AE22" s="50">
        <f t="shared" ref="AE22:AE23" si="256">AQ22/12</f>
        <v>2.6041666666666665</v>
      </c>
      <c r="AF22" s="51">
        <f>AE22</f>
        <v>2.6041666666666665</v>
      </c>
      <c r="AG22" s="51">
        <f t="shared" ref="AG22:AO22" si="257">AF22</f>
        <v>2.6041666666666665</v>
      </c>
      <c r="AH22" s="51">
        <f t="shared" si="257"/>
        <v>2.6041666666666665</v>
      </c>
      <c r="AI22" s="51">
        <f t="shared" si="257"/>
        <v>2.6041666666666665</v>
      </c>
      <c r="AJ22" s="51">
        <f t="shared" si="257"/>
        <v>2.6041666666666665</v>
      </c>
      <c r="AK22" s="51">
        <f t="shared" si="257"/>
        <v>2.6041666666666665</v>
      </c>
      <c r="AL22" s="51">
        <f t="shared" si="257"/>
        <v>2.6041666666666665</v>
      </c>
      <c r="AM22" s="51">
        <f t="shared" si="257"/>
        <v>2.6041666666666665</v>
      </c>
      <c r="AN22" s="51">
        <f t="shared" si="257"/>
        <v>2.6041666666666665</v>
      </c>
      <c r="AO22" s="51">
        <f t="shared" si="257"/>
        <v>2.6041666666666665</v>
      </c>
      <c r="AP22" s="51">
        <f>AQ22-SUM(AE22:AO22)</f>
        <v>2.6041666666666643</v>
      </c>
      <c r="AQ22" s="64">
        <f>$C22*AQ$11</f>
        <v>31.25</v>
      </c>
      <c r="AR22" s="50">
        <f t="shared" ref="AR22:AR23" si="258">BD22/12</f>
        <v>3.75</v>
      </c>
      <c r="AS22" s="51">
        <f>AR22</f>
        <v>3.75</v>
      </c>
      <c r="AT22" s="51">
        <f t="shared" ref="AT22:BB22" si="259">AS22</f>
        <v>3.75</v>
      </c>
      <c r="AU22" s="51">
        <f t="shared" si="259"/>
        <v>3.75</v>
      </c>
      <c r="AV22" s="51">
        <f t="shared" si="259"/>
        <v>3.75</v>
      </c>
      <c r="AW22" s="51">
        <f t="shared" si="259"/>
        <v>3.75</v>
      </c>
      <c r="AX22" s="51">
        <f t="shared" si="259"/>
        <v>3.75</v>
      </c>
      <c r="AY22" s="51">
        <f t="shared" si="259"/>
        <v>3.75</v>
      </c>
      <c r="AZ22" s="51">
        <f t="shared" si="259"/>
        <v>3.75</v>
      </c>
      <c r="BA22" s="51">
        <f t="shared" si="259"/>
        <v>3.75</v>
      </c>
      <c r="BB22" s="51">
        <f t="shared" si="259"/>
        <v>3.75</v>
      </c>
      <c r="BC22" s="51">
        <f>BD22-SUM(AR22:BB22)</f>
        <v>3.75</v>
      </c>
      <c r="BD22" s="83">
        <f>$C22*BD$11</f>
        <v>45</v>
      </c>
      <c r="BE22" s="50">
        <f t="shared" ref="BE22:BE23" si="260">BQ22/12</f>
        <v>4.739583333333333</v>
      </c>
      <c r="BF22" s="51">
        <f>BE22</f>
        <v>4.739583333333333</v>
      </c>
      <c r="BG22" s="51">
        <f t="shared" ref="BG22:BO22" si="261">BF22</f>
        <v>4.739583333333333</v>
      </c>
      <c r="BH22" s="51">
        <f t="shared" si="261"/>
        <v>4.739583333333333</v>
      </c>
      <c r="BI22" s="51">
        <f t="shared" si="261"/>
        <v>4.739583333333333</v>
      </c>
      <c r="BJ22" s="51">
        <f t="shared" si="261"/>
        <v>4.739583333333333</v>
      </c>
      <c r="BK22" s="51">
        <f t="shared" si="261"/>
        <v>4.739583333333333</v>
      </c>
      <c r="BL22" s="51">
        <f t="shared" si="261"/>
        <v>4.739583333333333</v>
      </c>
      <c r="BM22" s="51">
        <f t="shared" si="261"/>
        <v>4.739583333333333</v>
      </c>
      <c r="BN22" s="51">
        <f t="shared" si="261"/>
        <v>4.739583333333333</v>
      </c>
      <c r="BO22" s="51">
        <f t="shared" si="261"/>
        <v>4.739583333333333</v>
      </c>
      <c r="BP22" s="51">
        <f>BQ22-SUM(BE22:BO22)</f>
        <v>4.7395833333333286</v>
      </c>
      <c r="BQ22" s="89">
        <f>$C22*BQ$11</f>
        <v>56.875</v>
      </c>
      <c r="BS22" s="217" t="s">
        <v>97</v>
      </c>
      <c r="BT22" s="218">
        <f>Q27</f>
        <v>843.75</v>
      </c>
      <c r="BU22" s="218">
        <f>AD27</f>
        <v>1250</v>
      </c>
      <c r="BV22" s="218">
        <f>AQ27</f>
        <v>1785.7142857142858</v>
      </c>
      <c r="BW22" s="218">
        <f>BD27</f>
        <v>2000</v>
      </c>
      <c r="BX22" s="219">
        <f>BQ27</f>
        <v>1950</v>
      </c>
    </row>
    <row r="23" spans="2:124" x14ac:dyDescent="0.25">
      <c r="B23" s="25" t="s">
        <v>17</v>
      </c>
      <c r="C23" s="193">
        <v>0.4</v>
      </c>
      <c r="E23" s="102">
        <f t="shared" si="252"/>
        <v>0.34874999999999995</v>
      </c>
      <c r="F23" s="47">
        <f>E23</f>
        <v>0.34874999999999995</v>
      </c>
      <c r="G23" s="47">
        <f t="shared" si="253"/>
        <v>0.34874999999999995</v>
      </c>
      <c r="H23" s="47">
        <f t="shared" si="253"/>
        <v>0.34874999999999995</v>
      </c>
      <c r="I23" s="47">
        <f t="shared" si="253"/>
        <v>0.34874999999999995</v>
      </c>
      <c r="J23" s="47">
        <f t="shared" si="253"/>
        <v>0.34874999999999995</v>
      </c>
      <c r="K23" s="47">
        <f t="shared" si="253"/>
        <v>0.34874999999999995</v>
      </c>
      <c r="L23" s="47">
        <f t="shared" si="253"/>
        <v>0.34874999999999995</v>
      </c>
      <c r="M23" s="47">
        <f t="shared" si="253"/>
        <v>0.34874999999999995</v>
      </c>
      <c r="N23" s="47">
        <f t="shared" si="253"/>
        <v>0.34874999999999995</v>
      </c>
      <c r="O23" s="47">
        <f t="shared" si="253"/>
        <v>0.34874999999999995</v>
      </c>
      <c r="P23" s="103">
        <f>Q23-SUM(E23:O23)</f>
        <v>0.34875000000000034</v>
      </c>
      <c r="Q23" s="68">
        <f>(Q21-Q22)*$C23</f>
        <v>4.1849999999999996</v>
      </c>
      <c r="R23" s="46">
        <f t="shared" si="254"/>
        <v>0.64583333333333337</v>
      </c>
      <c r="S23" s="47">
        <f>R23</f>
        <v>0.64583333333333337</v>
      </c>
      <c r="T23" s="47">
        <f t="shared" ref="T23:AB23" si="262">S23</f>
        <v>0.64583333333333337</v>
      </c>
      <c r="U23" s="47">
        <f t="shared" si="262"/>
        <v>0.64583333333333337</v>
      </c>
      <c r="V23" s="47">
        <f t="shared" si="262"/>
        <v>0.64583333333333337</v>
      </c>
      <c r="W23" s="47">
        <f t="shared" si="262"/>
        <v>0.64583333333333337</v>
      </c>
      <c r="X23" s="47">
        <f t="shared" si="262"/>
        <v>0.64583333333333337</v>
      </c>
      <c r="Y23" s="47">
        <f t="shared" si="262"/>
        <v>0.64583333333333337</v>
      </c>
      <c r="Z23" s="47">
        <f t="shared" si="262"/>
        <v>0.64583333333333337</v>
      </c>
      <c r="AA23" s="47">
        <f t="shared" si="262"/>
        <v>0.64583333333333337</v>
      </c>
      <c r="AB23" s="47">
        <f t="shared" si="262"/>
        <v>0.64583333333333337</v>
      </c>
      <c r="AC23" s="47">
        <f>AD23-SUM(R23:AB23)</f>
        <v>0.64583333333333393</v>
      </c>
      <c r="AD23" s="75">
        <f>(AD21-AD22)*$C23</f>
        <v>7.75</v>
      </c>
      <c r="AE23" s="46">
        <f t="shared" si="256"/>
        <v>1.2916666666666667</v>
      </c>
      <c r="AF23" s="47">
        <f>AE23</f>
        <v>1.2916666666666667</v>
      </c>
      <c r="AG23" s="47">
        <f t="shared" ref="AG23:AO23" si="263">AF23</f>
        <v>1.2916666666666667</v>
      </c>
      <c r="AH23" s="47">
        <f t="shared" si="263"/>
        <v>1.2916666666666667</v>
      </c>
      <c r="AI23" s="47">
        <f t="shared" si="263"/>
        <v>1.2916666666666667</v>
      </c>
      <c r="AJ23" s="47">
        <f t="shared" si="263"/>
        <v>1.2916666666666667</v>
      </c>
      <c r="AK23" s="47">
        <f t="shared" si="263"/>
        <v>1.2916666666666667</v>
      </c>
      <c r="AL23" s="47">
        <f t="shared" si="263"/>
        <v>1.2916666666666667</v>
      </c>
      <c r="AM23" s="47">
        <f t="shared" si="263"/>
        <v>1.2916666666666667</v>
      </c>
      <c r="AN23" s="47">
        <f t="shared" si="263"/>
        <v>1.2916666666666667</v>
      </c>
      <c r="AO23" s="47">
        <f t="shared" si="263"/>
        <v>1.2916666666666667</v>
      </c>
      <c r="AP23" s="47">
        <f>AQ23-SUM(AE23:AO23)</f>
        <v>1.2916666666666679</v>
      </c>
      <c r="AQ23" s="62">
        <f>(AQ21-AQ22)*$C23</f>
        <v>15.5</v>
      </c>
      <c r="AR23" s="46">
        <f t="shared" si="258"/>
        <v>1.8600000000000005</v>
      </c>
      <c r="AS23" s="47">
        <f>AR23</f>
        <v>1.8600000000000005</v>
      </c>
      <c r="AT23" s="47">
        <f t="shared" ref="AT23:BB23" si="264">AS23</f>
        <v>1.8600000000000005</v>
      </c>
      <c r="AU23" s="47">
        <f t="shared" si="264"/>
        <v>1.8600000000000005</v>
      </c>
      <c r="AV23" s="47">
        <f t="shared" si="264"/>
        <v>1.8600000000000005</v>
      </c>
      <c r="AW23" s="47">
        <f t="shared" si="264"/>
        <v>1.8600000000000005</v>
      </c>
      <c r="AX23" s="47">
        <f t="shared" si="264"/>
        <v>1.8600000000000005</v>
      </c>
      <c r="AY23" s="47">
        <f t="shared" si="264"/>
        <v>1.8600000000000005</v>
      </c>
      <c r="AZ23" s="47">
        <f t="shared" si="264"/>
        <v>1.8600000000000005</v>
      </c>
      <c r="BA23" s="47">
        <f t="shared" si="264"/>
        <v>1.8600000000000005</v>
      </c>
      <c r="BB23" s="47">
        <f t="shared" si="264"/>
        <v>1.8600000000000005</v>
      </c>
      <c r="BC23" s="47">
        <f>BD23-SUM(AR23:BB23)</f>
        <v>1.860000000000003</v>
      </c>
      <c r="BD23" s="81">
        <f>(BD21-BD22)*$C23</f>
        <v>22.320000000000007</v>
      </c>
      <c r="BE23" s="46">
        <f t="shared" si="260"/>
        <v>2.3508333333333336</v>
      </c>
      <c r="BF23" s="47">
        <f>BE23</f>
        <v>2.3508333333333336</v>
      </c>
      <c r="BG23" s="47">
        <f t="shared" ref="BG23:BO23" si="265">BF23</f>
        <v>2.3508333333333336</v>
      </c>
      <c r="BH23" s="47">
        <f t="shared" si="265"/>
        <v>2.3508333333333336</v>
      </c>
      <c r="BI23" s="47">
        <f t="shared" si="265"/>
        <v>2.3508333333333336</v>
      </c>
      <c r="BJ23" s="47">
        <f t="shared" si="265"/>
        <v>2.3508333333333336</v>
      </c>
      <c r="BK23" s="47">
        <f t="shared" si="265"/>
        <v>2.3508333333333336</v>
      </c>
      <c r="BL23" s="47">
        <f t="shared" si="265"/>
        <v>2.3508333333333336</v>
      </c>
      <c r="BM23" s="47">
        <f t="shared" si="265"/>
        <v>2.3508333333333336</v>
      </c>
      <c r="BN23" s="47">
        <f t="shared" si="265"/>
        <v>2.3508333333333336</v>
      </c>
      <c r="BO23" s="47">
        <f t="shared" si="265"/>
        <v>2.3508333333333336</v>
      </c>
      <c r="BP23" s="47">
        <f>BQ23-SUM(BE23:BO23)</f>
        <v>2.350833333333334</v>
      </c>
      <c r="BQ23" s="87">
        <f>(BQ21-BQ22)*$C23</f>
        <v>28.210000000000004</v>
      </c>
      <c r="BS23" s="217" t="s">
        <v>96</v>
      </c>
      <c r="BT23" s="218">
        <f>Q28</f>
        <v>675</v>
      </c>
      <c r="BU23" s="218">
        <f>AD28</f>
        <v>750</v>
      </c>
      <c r="BV23" s="218">
        <f>AQ28</f>
        <v>750</v>
      </c>
      <c r="BW23" s="218">
        <f>BD28</f>
        <v>900</v>
      </c>
      <c r="BX23" s="219">
        <f>BQ28</f>
        <v>1050</v>
      </c>
    </row>
    <row r="24" spans="2:124" s="1" customFormat="1" x14ac:dyDescent="0.25">
      <c r="B24" s="26" t="s">
        <v>16</v>
      </c>
      <c r="C24" s="194">
        <f>1-SUM(C12,C18,C20,C22)</f>
        <v>0.15500000000000003</v>
      </c>
      <c r="E24" s="109">
        <f t="shared" ref="E24:P24" si="266">E21-E22-E23</f>
        <v>0.52312500000000028</v>
      </c>
      <c r="F24" s="55">
        <f t="shared" si="266"/>
        <v>0.52312500000000028</v>
      </c>
      <c r="G24" s="55">
        <f t="shared" si="266"/>
        <v>0.52312500000000028</v>
      </c>
      <c r="H24" s="55">
        <f t="shared" si="266"/>
        <v>0.52312500000000028</v>
      </c>
      <c r="I24" s="55">
        <f t="shared" si="266"/>
        <v>0.52312500000000028</v>
      </c>
      <c r="J24" s="55">
        <f t="shared" si="266"/>
        <v>0.52312500000000028</v>
      </c>
      <c r="K24" s="55">
        <f t="shared" si="266"/>
        <v>0.52312500000000028</v>
      </c>
      <c r="L24" s="55">
        <f t="shared" si="266"/>
        <v>0.52312500000000028</v>
      </c>
      <c r="M24" s="55">
        <f t="shared" si="266"/>
        <v>0.52312500000000028</v>
      </c>
      <c r="N24" s="55">
        <f t="shared" si="266"/>
        <v>0.52312500000000028</v>
      </c>
      <c r="O24" s="55">
        <f t="shared" si="266"/>
        <v>0.52312500000000028</v>
      </c>
      <c r="P24" s="110">
        <f t="shared" si="266"/>
        <v>0.52312499999999895</v>
      </c>
      <c r="Q24" s="72">
        <f>Q21-Q22-Q23</f>
        <v>6.277499999999999</v>
      </c>
      <c r="R24" s="54">
        <f t="shared" ref="R24" si="267">R21-R22-R23</f>
        <v>0.96874999999999944</v>
      </c>
      <c r="S24" s="55">
        <f t="shared" ref="S24" si="268">S21-S22-S23</f>
        <v>0.96874999999999944</v>
      </c>
      <c r="T24" s="55">
        <f t="shared" ref="T24" si="269">T21-T22-T23</f>
        <v>0.96874999999999944</v>
      </c>
      <c r="U24" s="55">
        <f t="shared" ref="U24" si="270">U21-U22-U23</f>
        <v>0.96874999999999944</v>
      </c>
      <c r="V24" s="55">
        <f t="shared" ref="V24" si="271">V21-V22-V23</f>
        <v>0.96874999999999944</v>
      </c>
      <c r="W24" s="55">
        <f t="shared" ref="W24" si="272">W21-W22-W23</f>
        <v>0.96874999999999944</v>
      </c>
      <c r="X24" s="55">
        <f t="shared" ref="X24" si="273">X21-X22-X23</f>
        <v>0.96874999999999944</v>
      </c>
      <c r="Y24" s="55">
        <f t="shared" ref="Y24" si="274">Y21-Y22-Y23</f>
        <v>0.96874999999999944</v>
      </c>
      <c r="Z24" s="55">
        <f t="shared" ref="Z24" si="275">Z21-Z22-Z23</f>
        <v>0.96874999999999944</v>
      </c>
      <c r="AA24" s="55">
        <f t="shared" ref="AA24" si="276">AA21-AA22-AA23</f>
        <v>0.96874999999999944</v>
      </c>
      <c r="AB24" s="55">
        <f t="shared" ref="AB24" si="277">AB21-AB22-AB23</f>
        <v>0.96874999999999944</v>
      </c>
      <c r="AC24" s="55">
        <f t="shared" ref="AC24" si="278">AC21-AC22-AC23</f>
        <v>0.96874999999999289</v>
      </c>
      <c r="AD24" s="79">
        <f t="shared" ref="AD24:BQ24" si="279">AD21-AD22-AD23</f>
        <v>11.625</v>
      </c>
      <c r="AE24" s="54">
        <f t="shared" ref="AE24" si="280">AE21-AE22-AE23</f>
        <v>1.9374999999999989</v>
      </c>
      <c r="AF24" s="55">
        <f t="shared" ref="AF24" si="281">AF21-AF22-AF23</f>
        <v>1.9374999999999989</v>
      </c>
      <c r="AG24" s="55">
        <f t="shared" ref="AG24" si="282">AG21-AG22-AG23</f>
        <v>1.9374999999999989</v>
      </c>
      <c r="AH24" s="55">
        <f t="shared" ref="AH24" si="283">AH21-AH22-AH23</f>
        <v>1.9374999999999989</v>
      </c>
      <c r="AI24" s="55">
        <f t="shared" ref="AI24" si="284">AI21-AI22-AI23</f>
        <v>1.9374999999999989</v>
      </c>
      <c r="AJ24" s="55">
        <f t="shared" ref="AJ24" si="285">AJ21-AJ22-AJ23</f>
        <v>1.9374999999999989</v>
      </c>
      <c r="AK24" s="55">
        <f t="shared" ref="AK24" si="286">AK21-AK22-AK23</f>
        <v>1.9374999999999989</v>
      </c>
      <c r="AL24" s="55">
        <f t="shared" ref="AL24" si="287">AL21-AL22-AL23</f>
        <v>1.9374999999999989</v>
      </c>
      <c r="AM24" s="55">
        <f t="shared" ref="AM24" si="288">AM21-AM22-AM23</f>
        <v>1.9374999999999989</v>
      </c>
      <c r="AN24" s="55">
        <f t="shared" ref="AN24" si="289">AN21-AN22-AN23</f>
        <v>1.9374999999999989</v>
      </c>
      <c r="AO24" s="55">
        <f t="shared" ref="AO24" si="290">AO21-AO22-AO23</f>
        <v>1.9374999999999989</v>
      </c>
      <c r="AP24" s="55">
        <f t="shared" ref="AP24" si="291">AP21-AP22-AP23</f>
        <v>1.9374999999999858</v>
      </c>
      <c r="AQ24" s="66">
        <f t="shared" si="279"/>
        <v>23.25</v>
      </c>
      <c r="AR24" s="54">
        <f t="shared" ref="AR24" si="292">AR21-AR22-AR23</f>
        <v>2.79</v>
      </c>
      <c r="AS24" s="55">
        <f t="shared" ref="AS24" si="293">AS21-AS22-AS23</f>
        <v>2.79</v>
      </c>
      <c r="AT24" s="55">
        <f t="shared" ref="AT24" si="294">AT21-AT22-AT23</f>
        <v>2.79</v>
      </c>
      <c r="AU24" s="55">
        <f t="shared" ref="AU24" si="295">AU21-AU22-AU23</f>
        <v>2.79</v>
      </c>
      <c r="AV24" s="55">
        <f t="shared" ref="AV24" si="296">AV21-AV22-AV23</f>
        <v>2.79</v>
      </c>
      <c r="AW24" s="55">
        <f t="shared" ref="AW24" si="297">AW21-AW22-AW23</f>
        <v>2.79</v>
      </c>
      <c r="AX24" s="55">
        <f t="shared" ref="AX24" si="298">AX21-AX22-AX23</f>
        <v>2.79</v>
      </c>
      <c r="AY24" s="55">
        <f t="shared" ref="AY24" si="299">AY21-AY22-AY23</f>
        <v>2.79</v>
      </c>
      <c r="AZ24" s="55">
        <f t="shared" ref="AZ24" si="300">AZ21-AZ22-AZ23</f>
        <v>2.79</v>
      </c>
      <c r="BA24" s="55">
        <f t="shared" ref="BA24" si="301">BA21-BA22-BA23</f>
        <v>2.79</v>
      </c>
      <c r="BB24" s="55">
        <f t="shared" ref="BB24" si="302">BB21-BB22-BB23</f>
        <v>2.79</v>
      </c>
      <c r="BC24" s="55">
        <f t="shared" ref="BC24" si="303">BC21-BC22-BC23</f>
        <v>2.7900000000000098</v>
      </c>
      <c r="BD24" s="85">
        <f t="shared" si="279"/>
        <v>33.480000000000004</v>
      </c>
      <c r="BE24" s="54">
        <f t="shared" ref="BE24" si="304">BE21-BE22-BE23</f>
        <v>3.5262500000000006</v>
      </c>
      <c r="BF24" s="55">
        <f t="shared" ref="BF24" si="305">BF21-BF22-BF23</f>
        <v>3.5262500000000006</v>
      </c>
      <c r="BG24" s="55">
        <f t="shared" ref="BG24" si="306">BG21-BG22-BG23</f>
        <v>3.5262500000000006</v>
      </c>
      <c r="BH24" s="55">
        <f t="shared" ref="BH24" si="307">BH21-BH22-BH23</f>
        <v>3.5262500000000006</v>
      </c>
      <c r="BI24" s="55">
        <f t="shared" ref="BI24" si="308">BI21-BI22-BI23</f>
        <v>3.5262500000000006</v>
      </c>
      <c r="BJ24" s="55">
        <f t="shared" ref="BJ24" si="309">BJ21-BJ22-BJ23</f>
        <v>3.5262500000000006</v>
      </c>
      <c r="BK24" s="55">
        <f t="shared" ref="BK24" si="310">BK21-BK22-BK23</f>
        <v>3.5262500000000006</v>
      </c>
      <c r="BL24" s="55">
        <f t="shared" ref="BL24" si="311">BL21-BL22-BL23</f>
        <v>3.5262500000000006</v>
      </c>
      <c r="BM24" s="55">
        <f t="shared" ref="BM24" si="312">BM21-BM22-BM23</f>
        <v>3.5262500000000006</v>
      </c>
      <c r="BN24" s="55">
        <f t="shared" ref="BN24" si="313">BN21-BN22-BN23</f>
        <v>3.5262500000000006</v>
      </c>
      <c r="BO24" s="55">
        <f t="shared" ref="BO24" si="314">BO21-BO22-BO23</f>
        <v>3.5262500000000006</v>
      </c>
      <c r="BP24" s="55">
        <f t="shared" ref="BP24" si="315">BP21-BP22-BP23</f>
        <v>3.5262499999999619</v>
      </c>
      <c r="BQ24" s="91">
        <f t="shared" si="279"/>
        <v>42.314999999999998</v>
      </c>
      <c r="BS24" s="220" t="s">
        <v>95</v>
      </c>
      <c r="BT24" s="221">
        <f>Q29</f>
        <v>3825</v>
      </c>
      <c r="BU24" s="221">
        <f>AD29</f>
        <v>4250</v>
      </c>
      <c r="BV24" s="221">
        <f>AQ29</f>
        <v>4250</v>
      </c>
      <c r="BW24" s="221">
        <f>BD29</f>
        <v>5100</v>
      </c>
      <c r="BX24" s="222">
        <f>BQ29</f>
        <v>5950</v>
      </c>
    </row>
    <row r="25" spans="2:124" s="1" customFormat="1" ht="15.75" x14ac:dyDescent="0.25">
      <c r="B25" s="31"/>
      <c r="C25" s="37"/>
      <c r="K25" s="28"/>
      <c r="L25" s="28"/>
      <c r="M25" s="28"/>
      <c r="N25" s="28"/>
      <c r="O25" s="28"/>
      <c r="P25" s="28"/>
      <c r="Q25" s="30"/>
      <c r="R25" s="20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30"/>
      <c r="AE25" s="20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30"/>
      <c r="AR25" s="20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30"/>
      <c r="BE25" s="20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30"/>
      <c r="BR25" s="30"/>
      <c r="BS25"/>
      <c r="BT25"/>
      <c r="BU25"/>
      <c r="BV25"/>
      <c r="BW25"/>
      <c r="BX25"/>
      <c r="BY25"/>
      <c r="BZ25"/>
    </row>
    <row r="26" spans="2:124" x14ac:dyDescent="0.25">
      <c r="B26" s="12" t="s">
        <v>91</v>
      </c>
      <c r="E26" s="14"/>
      <c r="F26" s="14"/>
      <c r="G26" s="14"/>
      <c r="H26" s="14"/>
      <c r="I26" s="14"/>
      <c r="BY26" s="3"/>
    </row>
    <row r="27" spans="2:124" s="28" customFormat="1" x14ac:dyDescent="0.25">
      <c r="B27" s="157" t="s">
        <v>75</v>
      </c>
      <c r="E27" s="226">
        <f>E17/E5*1000</f>
        <v>843.75</v>
      </c>
      <c r="F27" s="227">
        <f t="shared" ref="F27:P27" si="316">F17/F5*1000</f>
        <v>843.75</v>
      </c>
      <c r="G27" s="227">
        <f t="shared" si="316"/>
        <v>843.75</v>
      </c>
      <c r="H27" s="227">
        <f t="shared" si="316"/>
        <v>843.75</v>
      </c>
      <c r="I27" s="227">
        <f t="shared" si="316"/>
        <v>843.75</v>
      </c>
      <c r="J27" s="227">
        <f t="shared" si="316"/>
        <v>843.75</v>
      </c>
      <c r="K27" s="227">
        <f t="shared" si="316"/>
        <v>843.75</v>
      </c>
      <c r="L27" s="227">
        <f t="shared" si="316"/>
        <v>843.75</v>
      </c>
      <c r="M27" s="227">
        <f t="shared" si="316"/>
        <v>843.75</v>
      </c>
      <c r="N27" s="227">
        <f t="shared" si="316"/>
        <v>843.75</v>
      </c>
      <c r="O27" s="227">
        <f t="shared" si="316"/>
        <v>843.75</v>
      </c>
      <c r="P27" s="228">
        <f t="shared" si="316"/>
        <v>843.75</v>
      </c>
      <c r="Q27" s="67">
        <f>Q17*1000/Q5</f>
        <v>843.75</v>
      </c>
      <c r="R27" s="44">
        <f>R17/R5*1000</f>
        <v>1562.5</v>
      </c>
      <c r="S27" s="45">
        <f t="shared" ref="S27:AC27" si="317">S17/S5*1000</f>
        <v>1562.5</v>
      </c>
      <c r="T27" s="45">
        <f t="shared" si="317"/>
        <v>1562.5</v>
      </c>
      <c r="U27" s="45">
        <f t="shared" si="317"/>
        <v>1562.5</v>
      </c>
      <c r="V27" s="45">
        <f t="shared" si="317"/>
        <v>1562.5</v>
      </c>
      <c r="W27" s="45">
        <f t="shared" si="317"/>
        <v>1562.5</v>
      </c>
      <c r="X27" s="45">
        <f t="shared" si="317"/>
        <v>1562.5</v>
      </c>
      <c r="Y27" s="45">
        <f t="shared" si="317"/>
        <v>1562.5</v>
      </c>
      <c r="Z27" s="45">
        <f t="shared" si="317"/>
        <v>1562.5</v>
      </c>
      <c r="AA27" s="45">
        <f t="shared" si="317"/>
        <v>1562.5</v>
      </c>
      <c r="AB27" s="45">
        <f t="shared" si="317"/>
        <v>1562.5</v>
      </c>
      <c r="AC27" s="45">
        <f t="shared" si="317"/>
        <v>390.625</v>
      </c>
      <c r="AD27" s="74">
        <f>AD17*1000/AD5</f>
        <v>1250</v>
      </c>
      <c r="AE27" s="44">
        <f>AE17/AE5*1000</f>
        <v>3125</v>
      </c>
      <c r="AF27" s="45">
        <f t="shared" ref="AF27:AP27" si="318">AF17/AF5*1000</f>
        <v>3125</v>
      </c>
      <c r="AG27" s="45">
        <f t="shared" si="318"/>
        <v>3125</v>
      </c>
      <c r="AH27" s="45">
        <f t="shared" si="318"/>
        <v>3125</v>
      </c>
      <c r="AI27" s="45">
        <f t="shared" si="318"/>
        <v>3125</v>
      </c>
      <c r="AJ27" s="45">
        <f t="shared" si="318"/>
        <v>3125</v>
      </c>
      <c r="AK27" s="45">
        <f t="shared" si="318"/>
        <v>3125</v>
      </c>
      <c r="AL27" s="45">
        <f t="shared" si="318"/>
        <v>3125</v>
      </c>
      <c r="AM27" s="45">
        <f t="shared" si="318"/>
        <v>3125</v>
      </c>
      <c r="AN27" s="45">
        <f t="shared" si="318"/>
        <v>3125</v>
      </c>
      <c r="AO27" s="45">
        <f t="shared" si="318"/>
        <v>3125</v>
      </c>
      <c r="AP27" s="45">
        <f t="shared" si="318"/>
        <v>312.5</v>
      </c>
      <c r="AQ27" s="61">
        <f>AQ17*1000/AQ5</f>
        <v>1785.7142857142858</v>
      </c>
      <c r="AR27" s="44">
        <f>AR17/AR5*1000</f>
        <v>2250</v>
      </c>
      <c r="AS27" s="45">
        <f t="shared" ref="AS27:BC27" si="319">AS17/AS5*1000</f>
        <v>2250</v>
      </c>
      <c r="AT27" s="45">
        <f t="shared" si="319"/>
        <v>2250</v>
      </c>
      <c r="AU27" s="45">
        <f t="shared" si="319"/>
        <v>2250</v>
      </c>
      <c r="AV27" s="45">
        <f t="shared" si="319"/>
        <v>2250</v>
      </c>
      <c r="AW27" s="45">
        <f t="shared" si="319"/>
        <v>2250</v>
      </c>
      <c r="AX27" s="45">
        <f t="shared" si="319"/>
        <v>2250</v>
      </c>
      <c r="AY27" s="45">
        <f t="shared" si="319"/>
        <v>2250</v>
      </c>
      <c r="AZ27" s="45">
        <f t="shared" si="319"/>
        <v>2250</v>
      </c>
      <c r="BA27" s="45">
        <f t="shared" si="319"/>
        <v>2250</v>
      </c>
      <c r="BB27" s="45">
        <f t="shared" si="319"/>
        <v>2250</v>
      </c>
      <c r="BC27" s="45">
        <f t="shared" si="319"/>
        <v>900</v>
      </c>
      <c r="BD27" s="80">
        <f>BD17*1000/BD5</f>
        <v>2000</v>
      </c>
      <c r="BE27" s="44">
        <f>BE17/BE5*1000</f>
        <v>2843.75</v>
      </c>
      <c r="BF27" s="45">
        <f t="shared" ref="BF27:BP27" si="320">BF17/BF5*1000</f>
        <v>2843.75</v>
      </c>
      <c r="BG27" s="45">
        <f t="shared" si="320"/>
        <v>2843.75</v>
      </c>
      <c r="BH27" s="45">
        <f t="shared" si="320"/>
        <v>2843.75</v>
      </c>
      <c r="BI27" s="45">
        <f t="shared" si="320"/>
        <v>2843.75</v>
      </c>
      <c r="BJ27" s="45">
        <f t="shared" si="320"/>
        <v>2843.75</v>
      </c>
      <c r="BK27" s="45">
        <f t="shared" si="320"/>
        <v>2843.75</v>
      </c>
      <c r="BL27" s="45">
        <f t="shared" si="320"/>
        <v>2843.75</v>
      </c>
      <c r="BM27" s="45">
        <f t="shared" si="320"/>
        <v>2843.75</v>
      </c>
      <c r="BN27" s="45">
        <f t="shared" si="320"/>
        <v>2843.75</v>
      </c>
      <c r="BO27" s="45">
        <f t="shared" si="320"/>
        <v>2843.75</v>
      </c>
      <c r="BP27" s="45">
        <f t="shared" si="320"/>
        <v>437.5</v>
      </c>
      <c r="BQ27" s="86">
        <f>BQ17*1000/BQ5</f>
        <v>1950</v>
      </c>
      <c r="BY27" s="3"/>
      <c r="BZ27" s="3"/>
    </row>
    <row r="28" spans="2:124" s="28" customFormat="1" x14ac:dyDescent="0.25">
      <c r="B28" s="157" t="s">
        <v>76</v>
      </c>
      <c r="E28" s="229">
        <f>E17/E6*1000</f>
        <v>843.75</v>
      </c>
      <c r="F28" s="230">
        <f t="shared" ref="F28:P28" si="321">F17/F6*1000</f>
        <v>843.75</v>
      </c>
      <c r="G28" s="230">
        <f t="shared" si="321"/>
        <v>843.75</v>
      </c>
      <c r="H28" s="230">
        <f t="shared" si="321"/>
        <v>843.75</v>
      </c>
      <c r="I28" s="230">
        <f t="shared" si="321"/>
        <v>843.75</v>
      </c>
      <c r="J28" s="230">
        <f t="shared" si="321"/>
        <v>843.75</v>
      </c>
      <c r="K28" s="230">
        <f t="shared" si="321"/>
        <v>843.75</v>
      </c>
      <c r="L28" s="230">
        <f t="shared" si="321"/>
        <v>843.75</v>
      </c>
      <c r="M28" s="230">
        <f t="shared" si="321"/>
        <v>843.75</v>
      </c>
      <c r="N28" s="230">
        <f t="shared" si="321"/>
        <v>843.75</v>
      </c>
      <c r="O28" s="230">
        <f t="shared" si="321"/>
        <v>843.75</v>
      </c>
      <c r="P28" s="231">
        <f t="shared" si="321"/>
        <v>210.9375</v>
      </c>
      <c r="Q28" s="70">
        <f>(Q17/Q6)*1000</f>
        <v>675</v>
      </c>
      <c r="R28" s="50">
        <f>R17/R6*1000</f>
        <v>781.25</v>
      </c>
      <c r="S28" s="51">
        <f t="shared" ref="S28:AC28" si="322">S17/S6*1000</f>
        <v>781.25</v>
      </c>
      <c r="T28" s="51">
        <f t="shared" si="322"/>
        <v>781.25</v>
      </c>
      <c r="U28" s="51">
        <f t="shared" si="322"/>
        <v>781.25</v>
      </c>
      <c r="V28" s="51">
        <f t="shared" si="322"/>
        <v>781.25</v>
      </c>
      <c r="W28" s="51">
        <f t="shared" si="322"/>
        <v>781.25</v>
      </c>
      <c r="X28" s="51">
        <f t="shared" si="322"/>
        <v>781.25</v>
      </c>
      <c r="Y28" s="51">
        <f t="shared" si="322"/>
        <v>781.25</v>
      </c>
      <c r="Z28" s="51">
        <f t="shared" si="322"/>
        <v>781.25</v>
      </c>
      <c r="AA28" s="51">
        <f t="shared" si="322"/>
        <v>781.25</v>
      </c>
      <c r="AB28" s="51">
        <f t="shared" si="322"/>
        <v>781.25</v>
      </c>
      <c r="AC28" s="51">
        <f t="shared" si="322"/>
        <v>520.83333333333337</v>
      </c>
      <c r="AD28" s="77">
        <f>(AD17/AD6)*1000</f>
        <v>750</v>
      </c>
      <c r="AE28" s="50">
        <f>AE17/AE6*1000</f>
        <v>781.25</v>
      </c>
      <c r="AF28" s="51">
        <f t="shared" ref="AF28:AP28" si="323">AF17/AF6*1000</f>
        <v>781.25</v>
      </c>
      <c r="AG28" s="51">
        <f t="shared" si="323"/>
        <v>781.25</v>
      </c>
      <c r="AH28" s="51">
        <f t="shared" si="323"/>
        <v>781.25</v>
      </c>
      <c r="AI28" s="51">
        <f t="shared" si="323"/>
        <v>781.25</v>
      </c>
      <c r="AJ28" s="51">
        <f t="shared" si="323"/>
        <v>781.25</v>
      </c>
      <c r="AK28" s="51">
        <f t="shared" si="323"/>
        <v>781.25</v>
      </c>
      <c r="AL28" s="51">
        <f t="shared" si="323"/>
        <v>781.25</v>
      </c>
      <c r="AM28" s="51">
        <f t="shared" si="323"/>
        <v>781.25</v>
      </c>
      <c r="AN28" s="51">
        <f t="shared" si="323"/>
        <v>781.25</v>
      </c>
      <c r="AO28" s="51">
        <f t="shared" si="323"/>
        <v>781.25</v>
      </c>
      <c r="AP28" s="51">
        <f t="shared" si="323"/>
        <v>520.83333333333337</v>
      </c>
      <c r="AQ28" s="64">
        <f>AQ17*1000/AQ6</f>
        <v>750</v>
      </c>
      <c r="AR28" s="50">
        <f>AR17/AR6*1000</f>
        <v>900</v>
      </c>
      <c r="AS28" s="51">
        <f t="shared" ref="AS28:BC28" si="324">AS17/AS6*1000</f>
        <v>900</v>
      </c>
      <c r="AT28" s="51">
        <f t="shared" si="324"/>
        <v>900</v>
      </c>
      <c r="AU28" s="51">
        <f t="shared" si="324"/>
        <v>900</v>
      </c>
      <c r="AV28" s="51">
        <f t="shared" si="324"/>
        <v>900</v>
      </c>
      <c r="AW28" s="51">
        <f t="shared" si="324"/>
        <v>900</v>
      </c>
      <c r="AX28" s="51">
        <f t="shared" si="324"/>
        <v>900</v>
      </c>
      <c r="AY28" s="51">
        <f t="shared" si="324"/>
        <v>900</v>
      </c>
      <c r="AZ28" s="51">
        <f t="shared" si="324"/>
        <v>900</v>
      </c>
      <c r="BA28" s="51">
        <f t="shared" si="324"/>
        <v>900</v>
      </c>
      <c r="BB28" s="51">
        <f t="shared" si="324"/>
        <v>900</v>
      </c>
      <c r="BC28" s="51">
        <f t="shared" si="324"/>
        <v>900</v>
      </c>
      <c r="BD28" s="83">
        <f>BD17*1000/BD6</f>
        <v>900</v>
      </c>
      <c r="BE28" s="50">
        <f>BE17/BE6*1000</f>
        <v>1137.5</v>
      </c>
      <c r="BF28" s="51">
        <f t="shared" ref="BF28:BP28" si="325">BF17/BF6*1000</f>
        <v>1137.5</v>
      </c>
      <c r="BG28" s="51">
        <f t="shared" si="325"/>
        <v>1137.5</v>
      </c>
      <c r="BH28" s="51">
        <f t="shared" si="325"/>
        <v>1137.5</v>
      </c>
      <c r="BI28" s="51">
        <f t="shared" si="325"/>
        <v>1137.5</v>
      </c>
      <c r="BJ28" s="51">
        <f t="shared" si="325"/>
        <v>1137.5</v>
      </c>
      <c r="BK28" s="51">
        <f t="shared" si="325"/>
        <v>1137.5</v>
      </c>
      <c r="BL28" s="51">
        <f t="shared" si="325"/>
        <v>1137.5</v>
      </c>
      <c r="BM28" s="51">
        <f t="shared" si="325"/>
        <v>1137.5</v>
      </c>
      <c r="BN28" s="51">
        <f t="shared" si="325"/>
        <v>1137.5</v>
      </c>
      <c r="BO28" s="51">
        <f t="shared" si="325"/>
        <v>1137.5</v>
      </c>
      <c r="BP28" s="51">
        <f t="shared" si="325"/>
        <v>568.75</v>
      </c>
      <c r="BQ28" s="89">
        <f>BQ17*1000/BQ6</f>
        <v>1050</v>
      </c>
      <c r="BY28"/>
      <c r="BZ28" s="3"/>
    </row>
    <row r="29" spans="2:124" s="28" customFormat="1" x14ac:dyDescent="0.25">
      <c r="B29" s="157" t="s">
        <v>94</v>
      </c>
      <c r="E29" s="232">
        <f t="shared" ref="E29:P29" si="326">E8*1000-E28</f>
        <v>3656.25</v>
      </c>
      <c r="F29" s="233">
        <f t="shared" si="326"/>
        <v>3656.25</v>
      </c>
      <c r="G29" s="233">
        <f t="shared" si="326"/>
        <v>3656.25</v>
      </c>
      <c r="H29" s="233">
        <f t="shared" si="326"/>
        <v>3656.25</v>
      </c>
      <c r="I29" s="233">
        <f t="shared" si="326"/>
        <v>3656.25</v>
      </c>
      <c r="J29" s="233">
        <f t="shared" si="326"/>
        <v>3656.25</v>
      </c>
      <c r="K29" s="233">
        <f t="shared" si="326"/>
        <v>3656.25</v>
      </c>
      <c r="L29" s="233">
        <f t="shared" si="326"/>
        <v>3656.25</v>
      </c>
      <c r="M29" s="233">
        <f t="shared" si="326"/>
        <v>3656.25</v>
      </c>
      <c r="N29" s="233">
        <f t="shared" si="326"/>
        <v>3656.25</v>
      </c>
      <c r="O29" s="233">
        <f t="shared" si="326"/>
        <v>3656.25</v>
      </c>
      <c r="P29" s="234">
        <f t="shared" si="326"/>
        <v>4289.0625</v>
      </c>
      <c r="Q29" s="235">
        <f>Q8*1000-Q28</f>
        <v>3825</v>
      </c>
      <c r="R29" s="236">
        <f t="shared" ref="R29" si="327">R8*1000-R28</f>
        <v>4218.75</v>
      </c>
      <c r="S29" s="237">
        <f t="shared" ref="S29" si="328">S8*1000-S28</f>
        <v>4218.75</v>
      </c>
      <c r="T29" s="237">
        <f t="shared" ref="T29" si="329">T8*1000-T28</f>
        <v>4218.75</v>
      </c>
      <c r="U29" s="237">
        <f t="shared" ref="U29" si="330">U8*1000-U28</f>
        <v>4218.75</v>
      </c>
      <c r="V29" s="237">
        <f t="shared" ref="V29" si="331">V8*1000-V28</f>
        <v>4218.75</v>
      </c>
      <c r="W29" s="237">
        <f t="shared" ref="W29" si="332">W8*1000-W28</f>
        <v>4218.75</v>
      </c>
      <c r="X29" s="237">
        <f t="shared" ref="X29" si="333">X8*1000-X28</f>
        <v>4218.75</v>
      </c>
      <c r="Y29" s="237">
        <f t="shared" ref="Y29" si="334">Y8*1000-Y28</f>
        <v>4218.75</v>
      </c>
      <c r="Z29" s="237">
        <f t="shared" ref="Z29" si="335">Z8*1000-Z28</f>
        <v>4218.75</v>
      </c>
      <c r="AA29" s="237">
        <f t="shared" ref="AA29" si="336">AA8*1000-AA28</f>
        <v>4218.75</v>
      </c>
      <c r="AB29" s="237">
        <f t="shared" ref="AB29" si="337">AB8*1000-AB28</f>
        <v>4218.75</v>
      </c>
      <c r="AC29" s="237">
        <f t="shared" ref="AC29" si="338">AC8*1000-AC28</f>
        <v>4479.166666666667</v>
      </c>
      <c r="AD29" s="238">
        <f>AD8*1000-AD28</f>
        <v>4250</v>
      </c>
      <c r="AE29" s="236">
        <f t="shared" ref="AE29" si="339">AE8*1000-AE28</f>
        <v>4218.75</v>
      </c>
      <c r="AF29" s="237">
        <f t="shared" ref="AF29" si="340">AF8*1000-AF28</f>
        <v>4218.75</v>
      </c>
      <c r="AG29" s="237">
        <f t="shared" ref="AG29" si="341">AG8*1000-AG28</f>
        <v>4218.75</v>
      </c>
      <c r="AH29" s="237">
        <f t="shared" ref="AH29" si="342">AH8*1000-AH28</f>
        <v>4218.75</v>
      </c>
      <c r="AI29" s="237">
        <f t="shared" ref="AI29" si="343">AI8*1000-AI28</f>
        <v>4218.75</v>
      </c>
      <c r="AJ29" s="237">
        <f t="shared" ref="AJ29" si="344">AJ8*1000-AJ28</f>
        <v>4218.75</v>
      </c>
      <c r="AK29" s="237">
        <f t="shared" ref="AK29" si="345">AK8*1000-AK28</f>
        <v>4218.75</v>
      </c>
      <c r="AL29" s="237">
        <f t="shared" ref="AL29" si="346">AL8*1000-AL28</f>
        <v>4218.75</v>
      </c>
      <c r="AM29" s="237">
        <f t="shared" ref="AM29" si="347">AM8*1000-AM28</f>
        <v>4218.75</v>
      </c>
      <c r="AN29" s="237">
        <f t="shared" ref="AN29" si="348">AN8*1000-AN28</f>
        <v>4218.75</v>
      </c>
      <c r="AO29" s="237">
        <f t="shared" ref="AO29" si="349">AO8*1000-AO28</f>
        <v>4218.75</v>
      </c>
      <c r="AP29" s="237">
        <f t="shared" ref="AP29" si="350">AP8*1000-AP28</f>
        <v>4479.166666666667</v>
      </c>
      <c r="AQ29" s="239">
        <f>AQ8*1000-AQ28</f>
        <v>4250</v>
      </c>
      <c r="AR29" s="236">
        <f t="shared" ref="AR29" si="351">AR8*1000-AR28</f>
        <v>5100</v>
      </c>
      <c r="AS29" s="237">
        <f t="shared" ref="AS29" si="352">AS8*1000-AS28</f>
        <v>5100</v>
      </c>
      <c r="AT29" s="237">
        <f t="shared" ref="AT29" si="353">AT8*1000-AT28</f>
        <v>5100</v>
      </c>
      <c r="AU29" s="237">
        <f t="shared" ref="AU29" si="354">AU8*1000-AU28</f>
        <v>5100</v>
      </c>
      <c r="AV29" s="237">
        <f t="shared" ref="AV29" si="355">AV8*1000-AV28</f>
        <v>5100</v>
      </c>
      <c r="AW29" s="237">
        <f t="shared" ref="AW29" si="356">AW8*1000-AW28</f>
        <v>5100</v>
      </c>
      <c r="AX29" s="237">
        <f t="shared" ref="AX29" si="357">AX8*1000-AX28</f>
        <v>5100</v>
      </c>
      <c r="AY29" s="237">
        <f t="shared" ref="AY29" si="358">AY8*1000-AY28</f>
        <v>5100</v>
      </c>
      <c r="AZ29" s="237">
        <f t="shared" ref="AZ29" si="359">AZ8*1000-AZ28</f>
        <v>5100</v>
      </c>
      <c r="BA29" s="237">
        <f t="shared" ref="BA29" si="360">BA8*1000-BA28</f>
        <v>5100</v>
      </c>
      <c r="BB29" s="237">
        <f t="shared" ref="BB29" si="361">BB8*1000-BB28</f>
        <v>5100</v>
      </c>
      <c r="BC29" s="237">
        <f t="shared" ref="BC29" si="362">BC8*1000-BC28</f>
        <v>5100</v>
      </c>
      <c r="BD29" s="240">
        <f>BD8*1000-BD28</f>
        <v>5100</v>
      </c>
      <c r="BE29" s="236">
        <f t="shared" ref="BE29" si="363">BE8*1000-BE28</f>
        <v>5862.5</v>
      </c>
      <c r="BF29" s="237">
        <f t="shared" ref="BF29" si="364">BF8*1000-BF28</f>
        <v>5862.5</v>
      </c>
      <c r="BG29" s="237">
        <f t="shared" ref="BG29" si="365">BG8*1000-BG28</f>
        <v>5862.5</v>
      </c>
      <c r="BH29" s="237">
        <f t="shared" ref="BH29" si="366">BH8*1000-BH28</f>
        <v>5862.5</v>
      </c>
      <c r="BI29" s="237">
        <f t="shared" ref="BI29" si="367">BI8*1000-BI28</f>
        <v>5862.5</v>
      </c>
      <c r="BJ29" s="237">
        <f t="shared" ref="BJ29" si="368">BJ8*1000-BJ28</f>
        <v>5862.5</v>
      </c>
      <c r="BK29" s="237">
        <f t="shared" ref="BK29" si="369">BK8*1000-BK28</f>
        <v>5862.5</v>
      </c>
      <c r="BL29" s="237">
        <f t="shared" ref="BL29" si="370">BL8*1000-BL28</f>
        <v>5862.5</v>
      </c>
      <c r="BM29" s="237">
        <f t="shared" ref="BM29" si="371">BM8*1000-BM28</f>
        <v>5862.5</v>
      </c>
      <c r="BN29" s="237">
        <f t="shared" ref="BN29" si="372">BN8*1000-BN28</f>
        <v>5862.5</v>
      </c>
      <c r="BO29" s="237">
        <f t="shared" ref="BO29" si="373">BO8*1000-BO28</f>
        <v>5862.5</v>
      </c>
      <c r="BP29" s="237">
        <f t="shared" ref="BP29" si="374">BP8*1000-BP28</f>
        <v>6431.25</v>
      </c>
      <c r="BQ29" s="241">
        <f>BQ8*1000-BQ28</f>
        <v>5950</v>
      </c>
      <c r="BY29"/>
      <c r="BZ29" s="3"/>
    </row>
    <row r="30" spans="2:124" x14ac:dyDescent="0.25">
      <c r="B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</row>
    <row r="31" spans="2:124" s="1" customFormat="1" x14ac:dyDescent="0.25">
      <c r="B31" s="12" t="s">
        <v>49</v>
      </c>
      <c r="C31" s="12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/>
      <c r="R31"/>
      <c r="S31"/>
      <c r="T31"/>
      <c r="U31"/>
      <c r="V31"/>
      <c r="W31" s="29"/>
      <c r="X31" s="29"/>
      <c r="Y31" s="29"/>
      <c r="Z31" s="29"/>
      <c r="AA31" s="29"/>
      <c r="AB31" s="29"/>
      <c r="AC31" s="29"/>
      <c r="AD31" s="20"/>
      <c r="AE31" s="20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0"/>
      <c r="AR31" s="20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0"/>
      <c r="BE31" s="20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0"/>
      <c r="BR31"/>
      <c r="BS31" s="252"/>
      <c r="BT31" s="250"/>
      <c r="BU31" s="250" t="s">
        <v>49</v>
      </c>
      <c r="BV31" s="250"/>
      <c r="BW31" s="250"/>
      <c r="BX31" s="250" t="s">
        <v>68</v>
      </c>
      <c r="BY31" s="246"/>
      <c r="BZ31" s="25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</row>
    <row r="32" spans="2:124" x14ac:dyDescent="0.25">
      <c r="B32" s="23" t="s">
        <v>24</v>
      </c>
      <c r="C32" s="23"/>
      <c r="D32" s="126"/>
      <c r="E32" s="100">
        <f t="shared" ref="E32:E33" si="375">Q32/12</f>
        <v>-0.66666666666666663</v>
      </c>
      <c r="F32" s="45">
        <f>E32</f>
        <v>-0.66666666666666663</v>
      </c>
      <c r="G32" s="45">
        <f t="shared" ref="G32:O33" si="376">F32</f>
        <v>-0.66666666666666663</v>
      </c>
      <c r="H32" s="45">
        <f t="shared" si="376"/>
        <v>-0.66666666666666663</v>
      </c>
      <c r="I32" s="45">
        <f t="shared" si="376"/>
        <v>-0.66666666666666663</v>
      </c>
      <c r="J32" s="45">
        <f t="shared" si="376"/>
        <v>-0.66666666666666663</v>
      </c>
      <c r="K32" s="45">
        <f t="shared" si="376"/>
        <v>-0.66666666666666663</v>
      </c>
      <c r="L32" s="45">
        <f t="shared" si="376"/>
        <v>-0.66666666666666663</v>
      </c>
      <c r="M32" s="45">
        <f t="shared" si="376"/>
        <v>-0.66666666666666663</v>
      </c>
      <c r="N32" s="45">
        <f t="shared" si="376"/>
        <v>-0.66666666666666663</v>
      </c>
      <c r="O32" s="45">
        <f t="shared" si="376"/>
        <v>-0.66666666666666663</v>
      </c>
      <c r="P32" s="45">
        <f>Q32-SUM(E32:O32)</f>
        <v>-0.66666666666666607</v>
      </c>
      <c r="Q32" s="8">
        <v>-8</v>
      </c>
      <c r="R32" s="100">
        <f t="shared" ref="R32:R33" si="377">AD32/12</f>
        <v>-0.83333333333333337</v>
      </c>
      <c r="S32" s="45">
        <f>R32</f>
        <v>-0.83333333333333337</v>
      </c>
      <c r="T32" s="45">
        <f t="shared" ref="T32:AB33" si="378">S32</f>
        <v>-0.83333333333333337</v>
      </c>
      <c r="U32" s="45">
        <f t="shared" si="378"/>
        <v>-0.83333333333333337</v>
      </c>
      <c r="V32" s="45">
        <f t="shared" si="378"/>
        <v>-0.83333333333333337</v>
      </c>
      <c r="W32" s="45">
        <f t="shared" si="378"/>
        <v>-0.83333333333333337</v>
      </c>
      <c r="X32" s="45">
        <f t="shared" si="378"/>
        <v>-0.83333333333333337</v>
      </c>
      <c r="Y32" s="45">
        <f t="shared" si="378"/>
        <v>-0.83333333333333337</v>
      </c>
      <c r="Z32" s="45">
        <f t="shared" si="378"/>
        <v>-0.83333333333333337</v>
      </c>
      <c r="AA32" s="45">
        <f t="shared" si="378"/>
        <v>-0.83333333333333337</v>
      </c>
      <c r="AB32" s="45">
        <f t="shared" si="378"/>
        <v>-0.83333333333333337</v>
      </c>
      <c r="AC32" s="45">
        <f>AD32-SUM(R32:AB32)</f>
        <v>-0.83333333333333393</v>
      </c>
      <c r="AD32" s="8">
        <v>-10</v>
      </c>
      <c r="AE32" s="100">
        <f t="shared" ref="AE32:AE33" si="379">AQ32/12</f>
        <v>-1.25</v>
      </c>
      <c r="AF32" s="45">
        <f>AE32</f>
        <v>-1.25</v>
      </c>
      <c r="AG32" s="45">
        <f t="shared" ref="AG32:AO33" si="380">AF32</f>
        <v>-1.25</v>
      </c>
      <c r="AH32" s="45">
        <f t="shared" si="380"/>
        <v>-1.25</v>
      </c>
      <c r="AI32" s="45">
        <f t="shared" si="380"/>
        <v>-1.25</v>
      </c>
      <c r="AJ32" s="45">
        <f t="shared" si="380"/>
        <v>-1.25</v>
      </c>
      <c r="AK32" s="45">
        <f t="shared" si="380"/>
        <v>-1.25</v>
      </c>
      <c r="AL32" s="45">
        <f t="shared" si="380"/>
        <v>-1.25</v>
      </c>
      <c r="AM32" s="45">
        <f t="shared" si="380"/>
        <v>-1.25</v>
      </c>
      <c r="AN32" s="45">
        <f t="shared" si="380"/>
        <v>-1.25</v>
      </c>
      <c r="AO32" s="45">
        <f t="shared" si="380"/>
        <v>-1.25</v>
      </c>
      <c r="AP32" s="45">
        <f>AQ32-SUM(AE32:AO32)</f>
        <v>-1.25</v>
      </c>
      <c r="AQ32" s="8">
        <v>-15</v>
      </c>
      <c r="AR32" s="100">
        <f t="shared" ref="AR32:AR33" si="381">BD32/12</f>
        <v>-1.6666666666666667</v>
      </c>
      <c r="AS32" s="45">
        <f>AR32</f>
        <v>-1.6666666666666667</v>
      </c>
      <c r="AT32" s="45">
        <f t="shared" ref="AT32:BB33" si="382">AS32</f>
        <v>-1.6666666666666667</v>
      </c>
      <c r="AU32" s="45">
        <f t="shared" si="382"/>
        <v>-1.6666666666666667</v>
      </c>
      <c r="AV32" s="45">
        <f t="shared" si="382"/>
        <v>-1.6666666666666667</v>
      </c>
      <c r="AW32" s="45">
        <f t="shared" si="382"/>
        <v>-1.6666666666666667</v>
      </c>
      <c r="AX32" s="45">
        <f t="shared" si="382"/>
        <v>-1.6666666666666667</v>
      </c>
      <c r="AY32" s="45">
        <f t="shared" si="382"/>
        <v>-1.6666666666666667</v>
      </c>
      <c r="AZ32" s="45">
        <f t="shared" si="382"/>
        <v>-1.6666666666666667</v>
      </c>
      <c r="BA32" s="45">
        <f t="shared" si="382"/>
        <v>-1.6666666666666667</v>
      </c>
      <c r="BB32" s="45">
        <f t="shared" si="382"/>
        <v>-1.6666666666666667</v>
      </c>
      <c r="BC32" s="45">
        <f>BD32-SUM(AR32:BB32)</f>
        <v>-1.6666666666666679</v>
      </c>
      <c r="BD32" s="8">
        <v>-20</v>
      </c>
      <c r="BE32" s="100">
        <f t="shared" ref="BE32:BE33" si="383">BQ32/12</f>
        <v>-1.6666666666666667</v>
      </c>
      <c r="BF32" s="45">
        <f>BE32</f>
        <v>-1.6666666666666667</v>
      </c>
      <c r="BG32" s="45">
        <f t="shared" ref="BG32:BO33" si="384">BF32</f>
        <v>-1.6666666666666667</v>
      </c>
      <c r="BH32" s="45">
        <f t="shared" si="384"/>
        <v>-1.6666666666666667</v>
      </c>
      <c r="BI32" s="45">
        <f t="shared" si="384"/>
        <v>-1.6666666666666667</v>
      </c>
      <c r="BJ32" s="45">
        <f t="shared" si="384"/>
        <v>-1.6666666666666667</v>
      </c>
      <c r="BK32" s="45">
        <f t="shared" si="384"/>
        <v>-1.6666666666666667</v>
      </c>
      <c r="BL32" s="45">
        <f t="shared" si="384"/>
        <v>-1.6666666666666667</v>
      </c>
      <c r="BM32" s="45">
        <f t="shared" si="384"/>
        <v>-1.6666666666666667</v>
      </c>
      <c r="BN32" s="45">
        <f t="shared" si="384"/>
        <v>-1.6666666666666667</v>
      </c>
      <c r="BO32" s="45">
        <f t="shared" si="384"/>
        <v>-1.6666666666666667</v>
      </c>
      <c r="BP32" s="45">
        <f>BQ32-SUM(BE32:BO32)</f>
        <v>-1.6666666666666679</v>
      </c>
      <c r="BQ32" s="8">
        <v>-20</v>
      </c>
      <c r="BS32" s="217" t="s">
        <v>67</v>
      </c>
      <c r="BT32" s="218">
        <f>$C$41</f>
        <v>383.79620829140833</v>
      </c>
      <c r="BU32" s="218">
        <f>BT32</f>
        <v>383.79620829140833</v>
      </c>
      <c r="BV32" s="218">
        <f>BU32</f>
        <v>383.79620829140833</v>
      </c>
      <c r="BW32" s="218">
        <f>$C$45</f>
        <v>568.75</v>
      </c>
      <c r="BX32" s="218">
        <f>BW32</f>
        <v>568.75</v>
      </c>
      <c r="BY32" s="219">
        <f>BX32</f>
        <v>568.75</v>
      </c>
    </row>
    <row r="33" spans="2:98" s="2" customFormat="1" x14ac:dyDescent="0.25">
      <c r="B33" s="24" t="s">
        <v>50</v>
      </c>
      <c r="C33" s="24"/>
      <c r="D33" s="126"/>
      <c r="E33" s="102">
        <f t="shared" si="375"/>
        <v>-0.66708918228062764</v>
      </c>
      <c r="F33" s="47">
        <f>E33</f>
        <v>-0.66708918228062764</v>
      </c>
      <c r="G33" s="47">
        <f t="shared" si="376"/>
        <v>-0.66708918228062764</v>
      </c>
      <c r="H33" s="47">
        <f t="shared" si="376"/>
        <v>-0.66708918228062764</v>
      </c>
      <c r="I33" s="47">
        <f t="shared" si="376"/>
        <v>-0.66708918228062764</v>
      </c>
      <c r="J33" s="47">
        <f t="shared" si="376"/>
        <v>-0.66708918228062764</v>
      </c>
      <c r="K33" s="47">
        <f t="shared" si="376"/>
        <v>-0.66708918228062764</v>
      </c>
      <c r="L33" s="47">
        <f t="shared" si="376"/>
        <v>-0.66708918228062764</v>
      </c>
      <c r="M33" s="47">
        <f t="shared" si="376"/>
        <v>-0.66708918228062764</v>
      </c>
      <c r="N33" s="47">
        <f t="shared" si="376"/>
        <v>-0.66708918228062764</v>
      </c>
      <c r="O33" s="47">
        <f t="shared" si="376"/>
        <v>-0.66708918228062764</v>
      </c>
      <c r="P33" s="47">
        <f>Q33-SUM(E33:O33)</f>
        <v>-0.66708918228062686</v>
      </c>
      <c r="Q33" s="8">
        <v>-8.0050701873675312</v>
      </c>
      <c r="R33" s="102">
        <f t="shared" si="377"/>
        <v>-1.6666666666666667</v>
      </c>
      <c r="S33" s="47">
        <f>R33</f>
        <v>-1.6666666666666667</v>
      </c>
      <c r="T33" s="47">
        <f t="shared" si="378"/>
        <v>-1.6666666666666667</v>
      </c>
      <c r="U33" s="47">
        <f t="shared" si="378"/>
        <v>-1.6666666666666667</v>
      </c>
      <c r="V33" s="47">
        <f t="shared" si="378"/>
        <v>-1.6666666666666667</v>
      </c>
      <c r="W33" s="47">
        <f t="shared" si="378"/>
        <v>-1.6666666666666667</v>
      </c>
      <c r="X33" s="47">
        <f t="shared" si="378"/>
        <v>-1.6666666666666667</v>
      </c>
      <c r="Y33" s="47">
        <f t="shared" si="378"/>
        <v>-1.6666666666666667</v>
      </c>
      <c r="Z33" s="47">
        <f t="shared" si="378"/>
        <v>-1.6666666666666667</v>
      </c>
      <c r="AA33" s="47">
        <f t="shared" si="378"/>
        <v>-1.6666666666666667</v>
      </c>
      <c r="AB33" s="47">
        <f t="shared" si="378"/>
        <v>-1.6666666666666667</v>
      </c>
      <c r="AC33" s="47">
        <f>AD33-SUM(R33:AB33)</f>
        <v>-1.6666666666666679</v>
      </c>
      <c r="AD33" s="8">
        <v>-20</v>
      </c>
      <c r="AE33" s="102">
        <f t="shared" si="379"/>
        <v>0.41666666666666669</v>
      </c>
      <c r="AF33" s="47">
        <f>AE33</f>
        <v>0.41666666666666669</v>
      </c>
      <c r="AG33" s="47">
        <f t="shared" si="380"/>
        <v>0.41666666666666669</v>
      </c>
      <c r="AH33" s="47">
        <f t="shared" si="380"/>
        <v>0.41666666666666669</v>
      </c>
      <c r="AI33" s="47">
        <f t="shared" si="380"/>
        <v>0.41666666666666669</v>
      </c>
      <c r="AJ33" s="47">
        <f t="shared" si="380"/>
        <v>0.41666666666666669</v>
      </c>
      <c r="AK33" s="47">
        <f t="shared" si="380"/>
        <v>0.41666666666666669</v>
      </c>
      <c r="AL33" s="47">
        <f t="shared" si="380"/>
        <v>0.41666666666666669</v>
      </c>
      <c r="AM33" s="47">
        <f t="shared" si="380"/>
        <v>0.41666666666666669</v>
      </c>
      <c r="AN33" s="47">
        <f t="shared" si="380"/>
        <v>0.41666666666666669</v>
      </c>
      <c r="AO33" s="47">
        <f t="shared" si="380"/>
        <v>0.41666666666666669</v>
      </c>
      <c r="AP33" s="47">
        <f>AQ33-SUM(AE33:AO33)</f>
        <v>0.41666666666666696</v>
      </c>
      <c r="AQ33" s="8">
        <v>5</v>
      </c>
      <c r="AR33" s="102">
        <f t="shared" si="381"/>
        <v>0</v>
      </c>
      <c r="AS33" s="47">
        <f>AR33</f>
        <v>0</v>
      </c>
      <c r="AT33" s="47">
        <f t="shared" si="382"/>
        <v>0</v>
      </c>
      <c r="AU33" s="47">
        <f t="shared" si="382"/>
        <v>0</v>
      </c>
      <c r="AV33" s="47">
        <f t="shared" si="382"/>
        <v>0</v>
      </c>
      <c r="AW33" s="47">
        <f t="shared" si="382"/>
        <v>0</v>
      </c>
      <c r="AX33" s="47">
        <f t="shared" si="382"/>
        <v>0</v>
      </c>
      <c r="AY33" s="47">
        <f t="shared" si="382"/>
        <v>0</v>
      </c>
      <c r="AZ33" s="47">
        <f t="shared" si="382"/>
        <v>0</v>
      </c>
      <c r="BA33" s="47">
        <f t="shared" si="382"/>
        <v>0</v>
      </c>
      <c r="BB33" s="47">
        <f t="shared" si="382"/>
        <v>0</v>
      </c>
      <c r="BC33" s="47">
        <f>BD33-SUM(AR33:BB33)</f>
        <v>0</v>
      </c>
      <c r="BD33" s="8">
        <v>0</v>
      </c>
      <c r="BE33" s="102">
        <f t="shared" si="383"/>
        <v>-0.83333333333333337</v>
      </c>
      <c r="BF33" s="47">
        <f>BE33</f>
        <v>-0.83333333333333337</v>
      </c>
      <c r="BG33" s="47">
        <f t="shared" si="384"/>
        <v>-0.83333333333333337</v>
      </c>
      <c r="BH33" s="47">
        <f t="shared" si="384"/>
        <v>-0.83333333333333337</v>
      </c>
      <c r="BI33" s="47">
        <f t="shared" si="384"/>
        <v>-0.83333333333333337</v>
      </c>
      <c r="BJ33" s="47">
        <f t="shared" si="384"/>
        <v>-0.83333333333333337</v>
      </c>
      <c r="BK33" s="47">
        <f t="shared" si="384"/>
        <v>-0.83333333333333337</v>
      </c>
      <c r="BL33" s="47">
        <f t="shared" si="384"/>
        <v>-0.83333333333333337</v>
      </c>
      <c r="BM33" s="47">
        <f t="shared" si="384"/>
        <v>-0.83333333333333337</v>
      </c>
      <c r="BN33" s="47">
        <f t="shared" si="384"/>
        <v>-0.83333333333333337</v>
      </c>
      <c r="BO33" s="47">
        <f t="shared" si="384"/>
        <v>-0.83333333333333337</v>
      </c>
      <c r="BP33" s="47">
        <f>BQ33-SUM(BE33:BO33)</f>
        <v>-0.83333333333333393</v>
      </c>
      <c r="BQ33" s="8">
        <v>-10</v>
      </c>
      <c r="BR33"/>
      <c r="BS33" s="217" t="s">
        <v>98</v>
      </c>
      <c r="BT33" s="218">
        <v>0</v>
      </c>
      <c r="BU33" s="218">
        <f>-$C$40</f>
        <v>112.5</v>
      </c>
      <c r="BV33" s="218">
        <f>BU33</f>
        <v>112.5</v>
      </c>
      <c r="BW33" s="218">
        <v>0</v>
      </c>
      <c r="BX33" s="218">
        <f>$C$44</f>
        <v>350</v>
      </c>
      <c r="BY33" s="219">
        <f>BX33</f>
        <v>350</v>
      </c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</row>
    <row r="34" spans="2:98" s="1" customFormat="1" x14ac:dyDescent="0.25">
      <c r="B34" s="31" t="s">
        <v>20</v>
      </c>
      <c r="C34" s="10" t="s">
        <v>78</v>
      </c>
      <c r="D34" s="126"/>
      <c r="E34" s="104">
        <f t="shared" ref="E34:P34" si="385">(E21*(1-$C$23))+E20+E32+E33</f>
        <v>0.45499415105270569</v>
      </c>
      <c r="F34" s="49">
        <f t="shared" si="385"/>
        <v>0.45499415105270569</v>
      </c>
      <c r="G34" s="49">
        <f t="shared" si="385"/>
        <v>0.45499415105270569</v>
      </c>
      <c r="H34" s="49">
        <f t="shared" si="385"/>
        <v>0.45499415105270569</v>
      </c>
      <c r="I34" s="49">
        <f t="shared" si="385"/>
        <v>0.45499415105270569</v>
      </c>
      <c r="J34" s="49">
        <f t="shared" si="385"/>
        <v>0.45499415105270569</v>
      </c>
      <c r="K34" s="49">
        <f t="shared" si="385"/>
        <v>0.45499415105270569</v>
      </c>
      <c r="L34" s="49">
        <f t="shared" si="385"/>
        <v>0.45499415105270569</v>
      </c>
      <c r="M34" s="49">
        <f t="shared" si="385"/>
        <v>0.45499415105270569</v>
      </c>
      <c r="N34" s="49">
        <f t="shared" si="385"/>
        <v>0.45499415105270569</v>
      </c>
      <c r="O34" s="49">
        <f t="shared" si="385"/>
        <v>0.45499415105270569</v>
      </c>
      <c r="P34" s="49">
        <f t="shared" si="385"/>
        <v>0.45499415105270646</v>
      </c>
      <c r="Q34" s="162">
        <f>(Q21*(1-$C$23))+Q20+Q32+Q33</f>
        <v>5.4599298126324651</v>
      </c>
      <c r="R34" s="104">
        <f t="shared" ref="R34:BQ34" si="386">(R21*(1-$C$23))+R20+R32+R33</f>
        <v>0.81249999999999933</v>
      </c>
      <c r="S34" s="49">
        <f t="shared" si="386"/>
        <v>0.81249999999999933</v>
      </c>
      <c r="T34" s="49">
        <f t="shared" si="386"/>
        <v>0.81249999999999933</v>
      </c>
      <c r="U34" s="49">
        <f t="shared" si="386"/>
        <v>0.81249999999999933</v>
      </c>
      <c r="V34" s="49">
        <f t="shared" si="386"/>
        <v>0.81249999999999933</v>
      </c>
      <c r="W34" s="49">
        <f t="shared" si="386"/>
        <v>0.81249999999999933</v>
      </c>
      <c r="X34" s="49">
        <f t="shared" si="386"/>
        <v>0.81249999999999933</v>
      </c>
      <c r="Y34" s="49">
        <f t="shared" si="386"/>
        <v>0.81249999999999933</v>
      </c>
      <c r="Z34" s="49">
        <f t="shared" si="386"/>
        <v>0.81249999999999933</v>
      </c>
      <c r="AA34" s="49">
        <f t="shared" si="386"/>
        <v>0.81249999999999933</v>
      </c>
      <c r="AB34" s="49">
        <f t="shared" si="386"/>
        <v>0.81249999999999933</v>
      </c>
      <c r="AC34" s="105">
        <f t="shared" si="386"/>
        <v>0.81249999999999378</v>
      </c>
      <c r="AD34" s="158">
        <f t="shared" si="386"/>
        <v>9.75</v>
      </c>
      <c r="AE34" s="104">
        <f t="shared" si="386"/>
        <v>5.7916666666666661</v>
      </c>
      <c r="AF34" s="49">
        <f t="shared" si="386"/>
        <v>5.7916666666666661</v>
      </c>
      <c r="AG34" s="49">
        <f t="shared" si="386"/>
        <v>5.7916666666666661</v>
      </c>
      <c r="AH34" s="49">
        <f t="shared" si="386"/>
        <v>5.7916666666666661</v>
      </c>
      <c r="AI34" s="49">
        <f t="shared" si="386"/>
        <v>5.7916666666666661</v>
      </c>
      <c r="AJ34" s="49">
        <f t="shared" si="386"/>
        <v>5.7916666666666661</v>
      </c>
      <c r="AK34" s="49">
        <f t="shared" si="386"/>
        <v>5.7916666666666661</v>
      </c>
      <c r="AL34" s="49">
        <f t="shared" si="386"/>
        <v>5.7916666666666661</v>
      </c>
      <c r="AM34" s="49">
        <f t="shared" si="386"/>
        <v>5.7916666666666661</v>
      </c>
      <c r="AN34" s="49">
        <f t="shared" si="386"/>
        <v>5.7916666666666661</v>
      </c>
      <c r="AO34" s="49">
        <f t="shared" si="386"/>
        <v>5.7916666666666661</v>
      </c>
      <c r="AP34" s="105">
        <f t="shared" si="386"/>
        <v>5.7916666666666581</v>
      </c>
      <c r="AQ34" s="159">
        <f t="shared" si="386"/>
        <v>69.5</v>
      </c>
      <c r="AR34" s="104">
        <f t="shared" si="386"/>
        <v>7.8733333333333322</v>
      </c>
      <c r="AS34" s="49">
        <f t="shared" si="386"/>
        <v>7.8733333333333322</v>
      </c>
      <c r="AT34" s="49">
        <f t="shared" si="386"/>
        <v>7.8733333333333322</v>
      </c>
      <c r="AU34" s="49">
        <f t="shared" si="386"/>
        <v>7.8733333333333322</v>
      </c>
      <c r="AV34" s="49">
        <f t="shared" si="386"/>
        <v>7.8733333333333322</v>
      </c>
      <c r="AW34" s="49">
        <f t="shared" si="386"/>
        <v>7.8733333333333322</v>
      </c>
      <c r="AX34" s="49">
        <f t="shared" si="386"/>
        <v>7.8733333333333322</v>
      </c>
      <c r="AY34" s="49">
        <f t="shared" si="386"/>
        <v>7.8733333333333322</v>
      </c>
      <c r="AZ34" s="49">
        <f t="shared" si="386"/>
        <v>7.8733333333333322</v>
      </c>
      <c r="BA34" s="49">
        <f t="shared" si="386"/>
        <v>7.8733333333333322</v>
      </c>
      <c r="BB34" s="49">
        <f t="shared" si="386"/>
        <v>7.8733333333333322</v>
      </c>
      <c r="BC34" s="105">
        <f t="shared" si="386"/>
        <v>7.8733333333333384</v>
      </c>
      <c r="BD34" s="160">
        <f t="shared" si="386"/>
        <v>94.48</v>
      </c>
      <c r="BE34" s="104">
        <f t="shared" si="386"/>
        <v>9.557500000000001</v>
      </c>
      <c r="BF34" s="49">
        <f t="shared" si="386"/>
        <v>9.557500000000001</v>
      </c>
      <c r="BG34" s="49">
        <f t="shared" si="386"/>
        <v>9.557500000000001</v>
      </c>
      <c r="BH34" s="49">
        <f t="shared" si="386"/>
        <v>9.557500000000001</v>
      </c>
      <c r="BI34" s="49">
        <f t="shared" si="386"/>
        <v>9.557500000000001</v>
      </c>
      <c r="BJ34" s="49">
        <f t="shared" si="386"/>
        <v>9.557500000000001</v>
      </c>
      <c r="BK34" s="49">
        <f t="shared" si="386"/>
        <v>9.557500000000001</v>
      </c>
      <c r="BL34" s="49">
        <f t="shared" si="386"/>
        <v>9.557500000000001</v>
      </c>
      <c r="BM34" s="49">
        <f t="shared" si="386"/>
        <v>9.557500000000001</v>
      </c>
      <c r="BN34" s="49">
        <f t="shared" si="386"/>
        <v>9.557500000000001</v>
      </c>
      <c r="BO34" s="49">
        <f t="shared" si="386"/>
        <v>9.557500000000001</v>
      </c>
      <c r="BP34" s="105">
        <f t="shared" si="386"/>
        <v>9.5574999999999726</v>
      </c>
      <c r="BQ34" s="117">
        <f t="shared" si="386"/>
        <v>114.69</v>
      </c>
      <c r="BS34" s="220" t="s">
        <v>66</v>
      </c>
      <c r="BT34" s="221">
        <v>0</v>
      </c>
      <c r="BU34" s="221">
        <v>0</v>
      </c>
      <c r="BV34" s="221">
        <f>$C$39</f>
        <v>496.29620829140833</v>
      </c>
      <c r="BW34" s="221">
        <v>0</v>
      </c>
      <c r="BX34" s="221">
        <v>0</v>
      </c>
      <c r="BY34" s="222">
        <f>$C$46</f>
        <v>918.75</v>
      </c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</row>
    <row r="35" spans="2:98" s="1" customFormat="1" x14ac:dyDescent="0.25">
      <c r="B35" s="35" t="s">
        <v>77</v>
      </c>
      <c r="C35" s="193">
        <v>7.4999999999999997E-2</v>
      </c>
      <c r="D35" s="126"/>
      <c r="E35" s="163"/>
      <c r="F35" s="164"/>
      <c r="G35" s="164"/>
      <c r="H35" s="165"/>
      <c r="I35" s="164"/>
      <c r="J35" s="166"/>
      <c r="K35" s="166"/>
      <c r="L35" s="166"/>
      <c r="M35" s="166"/>
      <c r="N35" s="166"/>
      <c r="O35" s="166"/>
      <c r="P35" s="166"/>
      <c r="Q35" s="164"/>
      <c r="R35" s="164"/>
      <c r="S35" s="164"/>
      <c r="T35" s="164"/>
      <c r="U35" s="165"/>
      <c r="V35" s="164"/>
      <c r="W35" s="166"/>
      <c r="X35" s="166"/>
      <c r="Y35" s="166"/>
      <c r="Z35" s="166"/>
      <c r="AA35" s="166"/>
      <c r="AB35" s="166"/>
      <c r="AC35" s="166"/>
      <c r="AD35" s="167"/>
      <c r="AE35" s="167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7"/>
      <c r="AR35" s="167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7"/>
      <c r="BE35" s="167"/>
      <c r="BF35" s="166"/>
      <c r="BG35" s="166"/>
      <c r="BH35" s="166"/>
      <c r="BI35" s="166"/>
      <c r="BJ35" s="166"/>
      <c r="BK35" s="166"/>
      <c r="BL35" s="166"/>
      <c r="BM35" s="166"/>
      <c r="BN35" s="166"/>
      <c r="BO35" s="166"/>
      <c r="BP35" s="166"/>
      <c r="BQ35" s="168"/>
      <c r="BR35"/>
      <c r="BS35"/>
      <c r="BT35"/>
      <c r="BU35"/>
      <c r="BV35"/>
      <c r="BW35"/>
      <c r="BX35"/>
      <c r="BY35"/>
      <c r="BZ35"/>
    </row>
    <row r="36" spans="2:98" s="1" customFormat="1" x14ac:dyDescent="0.25">
      <c r="B36" s="35" t="s">
        <v>27</v>
      </c>
      <c r="C36" s="193">
        <v>0.3</v>
      </c>
      <c r="D36" s="126"/>
      <c r="E36" s="163"/>
      <c r="F36" s="164"/>
      <c r="G36" s="164"/>
      <c r="H36" s="165"/>
      <c r="I36" s="164"/>
      <c r="J36" s="166"/>
      <c r="K36" s="166"/>
      <c r="L36" s="166"/>
      <c r="M36" s="166"/>
      <c r="N36" s="166"/>
      <c r="O36" s="166"/>
      <c r="P36" s="166"/>
      <c r="Q36" s="164"/>
      <c r="R36" s="164"/>
      <c r="S36" s="164"/>
      <c r="T36" s="164"/>
      <c r="U36" s="165"/>
      <c r="V36" s="164"/>
      <c r="W36" s="166"/>
      <c r="X36" s="166"/>
      <c r="Y36" s="166"/>
      <c r="Z36" s="166"/>
      <c r="AA36" s="166"/>
      <c r="AB36" s="166"/>
      <c r="AC36" s="166"/>
      <c r="AD36" s="167"/>
      <c r="AE36" s="167"/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7"/>
      <c r="AR36" s="167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7"/>
      <c r="BE36" s="167"/>
      <c r="BF36" s="166"/>
      <c r="BG36" s="166"/>
      <c r="BH36" s="166"/>
      <c r="BI36" s="166"/>
      <c r="BJ36" s="166"/>
      <c r="BK36" s="166"/>
      <c r="BL36" s="166"/>
      <c r="BM36" s="166"/>
      <c r="BN36" s="166"/>
      <c r="BO36" s="166"/>
      <c r="BP36" s="166"/>
      <c r="BQ36" s="168"/>
      <c r="BR36"/>
      <c r="BS36"/>
      <c r="BT36"/>
      <c r="BU36"/>
      <c r="BV36"/>
      <c r="BW36"/>
      <c r="BX36"/>
      <c r="BY36"/>
      <c r="BZ36"/>
    </row>
    <row r="37" spans="2:98" s="1" customFormat="1" x14ac:dyDescent="0.25">
      <c r="B37" s="35" t="s">
        <v>21</v>
      </c>
      <c r="C37" s="193">
        <v>5.0000000000000001E-3</v>
      </c>
      <c r="D37" s="126"/>
      <c r="E37" s="169"/>
      <c r="F37" s="170"/>
      <c r="G37" s="170"/>
      <c r="H37" s="171"/>
      <c r="I37" s="170"/>
      <c r="J37" s="172"/>
      <c r="K37" s="172"/>
      <c r="L37" s="172"/>
      <c r="M37" s="172"/>
      <c r="N37" s="172"/>
      <c r="O37" s="172"/>
      <c r="P37" s="172"/>
      <c r="Q37" s="170"/>
      <c r="R37" s="170"/>
      <c r="S37" s="170"/>
      <c r="T37" s="170"/>
      <c r="U37" s="171"/>
      <c r="V37" s="170"/>
      <c r="W37" s="172"/>
      <c r="X37" s="172"/>
      <c r="Y37" s="172"/>
      <c r="Z37" s="172"/>
      <c r="AA37" s="172"/>
      <c r="AB37" s="172"/>
      <c r="AC37" s="172"/>
      <c r="AD37" s="173"/>
      <c r="AE37" s="173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3"/>
      <c r="AR37" s="173"/>
      <c r="AS37" s="172"/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3"/>
      <c r="BE37" s="173"/>
      <c r="BF37" s="172"/>
      <c r="BG37" s="172"/>
      <c r="BH37" s="172"/>
      <c r="BI37" s="172"/>
      <c r="BJ37" s="172"/>
      <c r="BK37" s="172"/>
      <c r="BL37" s="172"/>
      <c r="BM37" s="172"/>
      <c r="BN37" s="172"/>
      <c r="BO37" s="172"/>
      <c r="BP37" s="172"/>
      <c r="BQ37" s="174"/>
      <c r="BR37"/>
      <c r="BS37"/>
      <c r="BT37"/>
      <c r="BU37"/>
      <c r="BV37"/>
      <c r="BW37"/>
      <c r="BX37"/>
      <c r="BY37"/>
      <c r="BZ37"/>
    </row>
    <row r="38" spans="2:98" s="1" customFormat="1" ht="15.75" thickBot="1" x14ac:dyDescent="0.3">
      <c r="B38" s="31" t="s">
        <v>22</v>
      </c>
      <c r="C38" s="37"/>
      <c r="D38" s="126"/>
      <c r="E38" s="154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44">
        <f>Q34/(1+$C36)^1</f>
        <v>4.1999460097172809</v>
      </c>
      <c r="R38" s="143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58">
        <f>AD34/(1+$C36)^2</f>
        <v>5.7692307692307683</v>
      </c>
      <c r="AE38" s="154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9">
        <f>AQ34/(1+$C36)^3</f>
        <v>31.634046426945829</v>
      </c>
      <c r="AR38" s="154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60">
        <f>BD34/(1+$C36)^4</f>
        <v>33.080074227092886</v>
      </c>
      <c r="BE38" s="154"/>
      <c r="BF38" s="155"/>
      <c r="BG38" s="155"/>
      <c r="BH38" s="155"/>
      <c r="BI38" s="155"/>
      <c r="BJ38" s="155"/>
      <c r="BK38" s="155"/>
      <c r="BL38" s="155"/>
      <c r="BM38" s="155"/>
      <c r="BN38" s="155"/>
      <c r="BO38" s="155"/>
      <c r="BP38" s="156"/>
      <c r="BQ38" s="117">
        <f>BQ34/(1+$C36)^5</f>
        <v>30.889351536387696</v>
      </c>
    </row>
    <row r="39" spans="2:98" s="1" customFormat="1" ht="15.75" thickBot="1" x14ac:dyDescent="0.3">
      <c r="B39" s="26" t="s">
        <v>23</v>
      </c>
      <c r="C39" s="205">
        <f>SUM(Q38,AD38,AQ38,BD38,BQ38,BQ39)</f>
        <v>496.29620829140833</v>
      </c>
      <c r="D39" s="206"/>
      <c r="E39" s="207"/>
      <c r="F39" s="208"/>
      <c r="G39" s="208"/>
      <c r="H39" s="209"/>
      <c r="I39" s="208"/>
      <c r="J39" s="210"/>
      <c r="K39" s="210"/>
      <c r="L39" s="210"/>
      <c r="M39" s="210"/>
      <c r="N39" s="210"/>
      <c r="O39" s="210"/>
      <c r="P39" s="210"/>
      <c r="Q39" s="208"/>
      <c r="R39" s="208"/>
      <c r="S39" s="208"/>
      <c r="T39" s="208"/>
      <c r="U39" s="209"/>
      <c r="V39" s="208"/>
      <c r="W39" s="210"/>
      <c r="X39" s="210"/>
      <c r="Y39" s="210"/>
      <c r="Z39" s="210"/>
      <c r="AA39" s="210"/>
      <c r="AB39" s="210"/>
      <c r="AC39" s="210"/>
      <c r="AD39" s="211"/>
      <c r="AE39" s="211"/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1"/>
      <c r="AR39" s="211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1"/>
      <c r="BE39" s="211"/>
      <c r="BF39" s="210"/>
      <c r="BG39" s="210"/>
      <c r="BH39" s="210"/>
      <c r="BI39" s="210"/>
      <c r="BJ39" s="210"/>
      <c r="BK39" s="210"/>
      <c r="BL39" s="210"/>
      <c r="BM39" s="210"/>
      <c r="BN39" s="210"/>
      <c r="BO39" s="210"/>
      <c r="BP39" s="210"/>
      <c r="BQ39" s="117">
        <f>(BQ34*(1+$C$37))/(C36-C37)</f>
        <v>390.72355932203391</v>
      </c>
    </row>
    <row r="40" spans="2:98" s="2" customFormat="1" ht="15.75" thickBot="1" x14ac:dyDescent="0.3">
      <c r="B40" s="34" t="s">
        <v>26</v>
      </c>
      <c r="C40" s="196">
        <f>-$Q$40</f>
        <v>-112.5</v>
      </c>
      <c r="D40" s="126"/>
      <c r="E40" s="163"/>
      <c r="F40" s="164"/>
      <c r="G40" s="164"/>
      <c r="H40" s="165"/>
      <c r="I40" s="164"/>
      <c r="J40" s="166"/>
      <c r="K40" s="166"/>
      <c r="L40" s="166"/>
      <c r="M40" s="166"/>
      <c r="N40" s="166"/>
      <c r="O40" s="166"/>
      <c r="P40" s="166"/>
      <c r="Q40" s="185">
        <f>Q22/C35</f>
        <v>112.5</v>
      </c>
      <c r="R40" s="164"/>
      <c r="S40" s="164"/>
      <c r="T40" s="164"/>
      <c r="U40" s="165"/>
      <c r="V40" s="164"/>
      <c r="W40" s="166"/>
      <c r="X40" s="166"/>
      <c r="Y40" s="166"/>
      <c r="Z40" s="166"/>
      <c r="AA40" s="166"/>
      <c r="AB40" s="166"/>
      <c r="AC40" s="166"/>
      <c r="AD40" s="167"/>
      <c r="AE40" s="167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7"/>
      <c r="AR40" s="167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7"/>
      <c r="BE40" s="167"/>
      <c r="BF40" s="166"/>
      <c r="BG40" s="166"/>
      <c r="BH40" s="166"/>
      <c r="BI40" s="166"/>
      <c r="BJ40" s="166"/>
      <c r="BK40" s="166"/>
      <c r="BL40" s="166"/>
      <c r="BM40" s="166"/>
      <c r="BN40" s="166"/>
      <c r="BO40" s="166"/>
      <c r="BP40" s="166"/>
      <c r="BQ40" s="168"/>
      <c r="BR40"/>
      <c r="BZ40" s="1"/>
    </row>
    <row r="41" spans="2:98" s="1" customFormat="1" ht="15.75" thickBot="1" x14ac:dyDescent="0.3">
      <c r="B41" s="31" t="s">
        <v>52</v>
      </c>
      <c r="C41" s="205">
        <f>SUM(C39:C40)</f>
        <v>383.79620829140833</v>
      </c>
      <c r="D41" s="126"/>
      <c r="E41" s="169"/>
      <c r="F41" s="170"/>
      <c r="G41" s="170"/>
      <c r="H41" s="171"/>
      <c r="I41" s="170"/>
      <c r="J41" s="172"/>
      <c r="K41" s="172"/>
      <c r="L41" s="172"/>
      <c r="M41" s="172"/>
      <c r="N41" s="172"/>
      <c r="O41" s="172"/>
      <c r="P41" s="172"/>
      <c r="Q41" s="170"/>
      <c r="R41" s="170"/>
      <c r="S41" s="170"/>
      <c r="T41" s="170"/>
      <c r="U41" s="171"/>
      <c r="V41" s="170"/>
      <c r="W41" s="172"/>
      <c r="X41" s="172"/>
      <c r="Y41" s="172"/>
      <c r="Z41" s="172"/>
      <c r="AA41" s="172"/>
      <c r="AB41" s="172"/>
      <c r="AC41" s="172"/>
      <c r="AD41" s="173"/>
      <c r="AE41" s="173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3"/>
      <c r="AR41" s="173"/>
      <c r="AS41" s="172"/>
      <c r="AT41" s="172"/>
      <c r="AU41" s="172"/>
      <c r="AV41" s="172"/>
      <c r="AW41" s="172"/>
      <c r="AX41" s="172"/>
      <c r="AY41" s="172"/>
      <c r="AZ41" s="172"/>
      <c r="BA41" s="172"/>
      <c r="BB41" s="172"/>
      <c r="BC41" s="172"/>
      <c r="BD41" s="173"/>
      <c r="BE41" s="173"/>
      <c r="BF41" s="172"/>
      <c r="BG41" s="172"/>
      <c r="BH41" s="172"/>
      <c r="BI41" s="172"/>
      <c r="BJ41" s="172"/>
      <c r="BK41" s="172"/>
      <c r="BL41" s="172"/>
      <c r="BM41" s="172"/>
      <c r="BN41" s="172"/>
      <c r="BO41" s="172"/>
      <c r="BP41" s="172"/>
      <c r="BQ41" s="174"/>
      <c r="BR41"/>
      <c r="BZ41"/>
    </row>
    <row r="42" spans="2:98" x14ac:dyDescent="0.25">
      <c r="B42" s="3"/>
      <c r="D42" s="126"/>
      <c r="E42" s="40"/>
      <c r="F42" s="40"/>
      <c r="G42" s="40"/>
      <c r="H42" s="41"/>
      <c r="I42" s="40"/>
      <c r="J42" s="42"/>
      <c r="K42" s="42"/>
      <c r="L42" s="42"/>
      <c r="M42" s="42"/>
      <c r="N42" s="42"/>
      <c r="O42" s="42"/>
      <c r="P42" s="42"/>
      <c r="Q42" s="40"/>
      <c r="R42" s="40"/>
      <c r="S42" s="40"/>
      <c r="T42" s="40"/>
      <c r="U42" s="41"/>
      <c r="V42" s="40"/>
      <c r="W42" s="42"/>
      <c r="X42" s="42"/>
      <c r="Y42" s="42"/>
      <c r="Z42" s="42"/>
      <c r="AA42" s="42"/>
      <c r="AB42" s="42"/>
      <c r="AC42" s="42"/>
      <c r="AD42" s="43"/>
      <c r="AE42" s="43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3"/>
      <c r="AR42" s="43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3"/>
      <c r="BE42" s="43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3"/>
      <c r="BR42" s="40"/>
    </row>
    <row r="43" spans="2:98" x14ac:dyDescent="0.25">
      <c r="B43" s="12" t="s">
        <v>68</v>
      </c>
      <c r="C43" s="12"/>
      <c r="D43" s="126"/>
      <c r="E43" s="40"/>
      <c r="F43" s="40"/>
      <c r="G43" s="40"/>
      <c r="H43" s="41"/>
      <c r="I43" s="40"/>
      <c r="J43" s="42"/>
      <c r="K43" s="42"/>
      <c r="L43" s="42"/>
      <c r="M43" s="42"/>
      <c r="N43" s="42"/>
      <c r="O43" s="42"/>
      <c r="P43" s="42"/>
      <c r="Q43" s="40"/>
      <c r="R43" s="40"/>
      <c r="S43" s="40"/>
      <c r="T43" s="40"/>
      <c r="U43" s="41"/>
      <c r="V43" s="40"/>
      <c r="W43" s="42"/>
      <c r="X43" s="42"/>
      <c r="Y43" s="42"/>
      <c r="Z43" s="42"/>
      <c r="AA43" s="42"/>
      <c r="AB43" s="42"/>
      <c r="AC43" s="42"/>
      <c r="AD43" s="43"/>
      <c r="AE43" s="43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3"/>
      <c r="AR43" s="43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3"/>
      <c r="BE43" s="43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3"/>
      <c r="BR43" s="40"/>
      <c r="BS43" s="242"/>
      <c r="BT43" s="243" t="s">
        <v>69</v>
      </c>
      <c r="BU43" s="244" t="s">
        <v>99</v>
      </c>
    </row>
    <row r="44" spans="2:98" ht="15.75" thickBot="1" x14ac:dyDescent="0.3">
      <c r="B44" s="35" t="s">
        <v>25</v>
      </c>
      <c r="C44" s="198">
        <v>350</v>
      </c>
      <c r="D44" s="126"/>
      <c r="E44" s="175"/>
      <c r="F44" s="176"/>
      <c r="G44" s="176"/>
      <c r="H44" s="177"/>
      <c r="I44" s="176"/>
      <c r="J44" s="178"/>
      <c r="K44" s="178"/>
      <c r="L44" s="178"/>
      <c r="M44" s="178"/>
      <c r="N44" s="178"/>
      <c r="O44" s="178"/>
      <c r="P44" s="178"/>
      <c r="Q44" s="176"/>
      <c r="R44" s="176"/>
      <c r="S44" s="176"/>
      <c r="T44" s="176"/>
      <c r="U44" s="177"/>
      <c r="V44" s="176"/>
      <c r="W44" s="178"/>
      <c r="X44" s="178"/>
      <c r="Y44" s="178"/>
      <c r="Z44" s="178"/>
      <c r="AA44" s="178"/>
      <c r="AB44" s="178"/>
      <c r="AC44" s="178"/>
      <c r="AD44" s="179"/>
      <c r="AE44" s="179"/>
      <c r="AF44" s="178"/>
      <c r="AG44" s="178"/>
      <c r="AH44" s="178"/>
      <c r="AI44" s="178"/>
      <c r="AJ44" s="178"/>
      <c r="AK44" s="178"/>
      <c r="AL44" s="178"/>
      <c r="AM44" s="178"/>
      <c r="AN44" s="178"/>
      <c r="AO44" s="178"/>
      <c r="AP44" s="178"/>
      <c r="AQ44" s="179"/>
      <c r="AR44" s="179"/>
      <c r="AS44" s="178"/>
      <c r="AT44" s="178"/>
      <c r="AU44" s="178"/>
      <c r="AV44" s="178"/>
      <c r="AW44" s="178"/>
      <c r="AX44" s="178"/>
      <c r="AY44" s="178"/>
      <c r="AZ44" s="178"/>
      <c r="BA44" s="178"/>
      <c r="BB44" s="178"/>
      <c r="BC44" s="178"/>
      <c r="BD44" s="179"/>
      <c r="BE44" s="179"/>
      <c r="BF44" s="178"/>
      <c r="BG44" s="178"/>
      <c r="BH44" s="178"/>
      <c r="BI44" s="178"/>
      <c r="BJ44" s="178"/>
      <c r="BK44" s="178"/>
      <c r="BL44" s="178"/>
      <c r="BM44" s="178"/>
      <c r="BN44" s="178"/>
      <c r="BO44" s="178"/>
      <c r="BP44" s="178"/>
      <c r="BQ44" s="180"/>
      <c r="BS44" s="217" t="str">
        <f t="shared" ref="BS44:BT47" si="387">B48</f>
        <v>Mgmt Shares</v>
      </c>
      <c r="BT44" s="218">
        <f t="shared" si="387"/>
        <v>1500</v>
      </c>
      <c r="BU44" s="253">
        <f>BT44*$C$54</f>
        <v>131.25</v>
      </c>
    </row>
    <row r="45" spans="2:98" x14ac:dyDescent="0.25">
      <c r="B45" s="35" t="s">
        <v>57</v>
      </c>
      <c r="C45" s="212">
        <f>C46-C44</f>
        <v>568.75</v>
      </c>
      <c r="D45" s="126"/>
      <c r="E45" s="163"/>
      <c r="F45" s="164"/>
      <c r="G45" s="164"/>
      <c r="H45" s="165"/>
      <c r="I45" s="164"/>
      <c r="J45" s="166"/>
      <c r="K45" s="166"/>
      <c r="L45" s="166"/>
      <c r="M45" s="166"/>
      <c r="N45" s="166"/>
      <c r="O45" s="166"/>
      <c r="P45" s="166"/>
      <c r="Q45" s="164"/>
      <c r="R45" s="164"/>
      <c r="S45" s="164"/>
      <c r="T45" s="164"/>
      <c r="U45" s="165"/>
      <c r="V45" s="164"/>
      <c r="W45" s="166"/>
      <c r="X45" s="166"/>
      <c r="Y45" s="166"/>
      <c r="Z45" s="166"/>
      <c r="AA45" s="166"/>
      <c r="AB45" s="166"/>
      <c r="AC45" s="166"/>
      <c r="AD45" s="167"/>
      <c r="AE45" s="167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7"/>
      <c r="AR45" s="167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7"/>
      <c r="BE45" s="167"/>
      <c r="BF45" s="166"/>
      <c r="BG45" s="166"/>
      <c r="BH45" s="166"/>
      <c r="BI45" s="166"/>
      <c r="BJ45" s="166"/>
      <c r="BK45" s="166"/>
      <c r="BL45" s="166"/>
      <c r="BM45" s="166"/>
      <c r="BN45" s="166"/>
      <c r="BO45" s="166"/>
      <c r="BP45" s="166"/>
      <c r="BQ45" s="168"/>
      <c r="BS45" s="217" t="str">
        <f t="shared" si="387"/>
        <v>Mgmt Options</v>
      </c>
      <c r="BT45" s="218">
        <f t="shared" si="387"/>
        <v>2000</v>
      </c>
      <c r="BU45" s="253">
        <f t="shared" ref="BU45:BU47" si="388">BT45*$C$54</f>
        <v>175</v>
      </c>
    </row>
    <row r="46" spans="2:98" ht="15.75" thickBot="1" x14ac:dyDescent="0.3">
      <c r="B46" s="35" t="s">
        <v>51</v>
      </c>
      <c r="C46" s="213">
        <f>C44/(C51/C52)</f>
        <v>918.75</v>
      </c>
      <c r="D46" s="126"/>
      <c r="E46" s="163"/>
      <c r="F46" s="164"/>
      <c r="G46" s="164"/>
      <c r="H46" s="165"/>
      <c r="I46" s="164"/>
      <c r="J46" s="166"/>
      <c r="K46" s="166"/>
      <c r="L46" s="166"/>
      <c r="M46" s="166"/>
      <c r="N46" s="166"/>
      <c r="O46" s="166"/>
      <c r="P46" s="166"/>
      <c r="Q46" s="164"/>
      <c r="R46" s="164"/>
      <c r="S46" s="164"/>
      <c r="T46" s="164"/>
      <c r="U46" s="165"/>
      <c r="V46" s="164"/>
      <c r="W46" s="166"/>
      <c r="X46" s="166"/>
      <c r="Y46" s="166"/>
      <c r="Z46" s="166"/>
      <c r="AA46" s="166"/>
      <c r="AB46" s="166"/>
      <c r="AC46" s="166"/>
      <c r="AD46" s="167"/>
      <c r="AE46" s="167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7"/>
      <c r="AR46" s="167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7"/>
      <c r="BE46" s="167"/>
      <c r="BF46" s="166"/>
      <c r="BG46" s="166"/>
      <c r="BH46" s="166"/>
      <c r="BI46" s="166"/>
      <c r="BJ46" s="166"/>
      <c r="BK46" s="166"/>
      <c r="BL46" s="166"/>
      <c r="BM46" s="166"/>
      <c r="BN46" s="166"/>
      <c r="BO46" s="166"/>
      <c r="BP46" s="166"/>
      <c r="BQ46" s="168"/>
      <c r="BS46" s="217" t="str">
        <f t="shared" si="387"/>
        <v>Add'l Shares</v>
      </c>
      <c r="BT46" s="218">
        <f t="shared" si="387"/>
        <v>3000</v>
      </c>
      <c r="BU46" s="253">
        <f t="shared" si="388"/>
        <v>262.5</v>
      </c>
    </row>
    <row r="47" spans="2:98" x14ac:dyDescent="0.25">
      <c r="B47" s="25" t="s">
        <v>58</v>
      </c>
      <c r="C47" s="10" t="s">
        <v>79</v>
      </c>
      <c r="D47" s="126"/>
      <c r="E47" s="163"/>
      <c r="F47" s="164"/>
      <c r="G47" s="164"/>
      <c r="H47" s="165"/>
      <c r="I47" s="164"/>
      <c r="J47" s="166"/>
      <c r="K47" s="166"/>
      <c r="L47" s="166"/>
      <c r="M47" s="166"/>
      <c r="N47" s="166"/>
      <c r="O47" s="166"/>
      <c r="P47" s="166"/>
      <c r="Q47" s="164"/>
      <c r="R47" s="164"/>
      <c r="S47" s="164"/>
      <c r="T47" s="164"/>
      <c r="U47" s="165"/>
      <c r="V47" s="164"/>
      <c r="W47" s="166"/>
      <c r="X47" s="166"/>
      <c r="Y47" s="166"/>
      <c r="Z47" s="166"/>
      <c r="AA47" s="166"/>
      <c r="AB47" s="166"/>
      <c r="AC47" s="166"/>
      <c r="AD47" s="167"/>
      <c r="AE47" s="167"/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7"/>
      <c r="AR47" s="167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7"/>
      <c r="BE47" s="167"/>
      <c r="BF47" s="166"/>
      <c r="BG47" s="166"/>
      <c r="BH47" s="166"/>
      <c r="BI47" s="166"/>
      <c r="BJ47" s="166"/>
      <c r="BK47" s="166"/>
      <c r="BL47" s="166"/>
      <c r="BM47" s="166"/>
      <c r="BN47" s="166"/>
      <c r="BO47" s="166"/>
      <c r="BP47" s="166"/>
      <c r="BQ47" s="168"/>
      <c r="BS47" s="220" t="str">
        <f t="shared" si="387"/>
        <v>Series A Pref'd</v>
      </c>
      <c r="BT47" s="221">
        <f t="shared" si="387"/>
        <v>4000</v>
      </c>
      <c r="BU47" s="254">
        <f t="shared" si="388"/>
        <v>350</v>
      </c>
    </row>
    <row r="48" spans="2:98" x14ac:dyDescent="0.25">
      <c r="B48" s="38" t="s">
        <v>53</v>
      </c>
      <c r="C48" s="195">
        <v>1500</v>
      </c>
      <c r="D48" s="126"/>
      <c r="E48" s="163"/>
      <c r="F48" s="164"/>
      <c r="G48" s="164"/>
      <c r="H48" s="165"/>
      <c r="I48" s="164"/>
      <c r="J48" s="166"/>
      <c r="K48" s="166"/>
      <c r="L48" s="166"/>
      <c r="M48" s="166"/>
      <c r="N48" s="166"/>
      <c r="O48" s="166"/>
      <c r="P48" s="166"/>
      <c r="Q48" s="164"/>
      <c r="R48" s="164"/>
      <c r="S48" s="164"/>
      <c r="T48" s="164"/>
      <c r="U48" s="165"/>
      <c r="V48" s="164"/>
      <c r="W48" s="166"/>
      <c r="X48" s="166"/>
      <c r="Y48" s="166"/>
      <c r="Z48" s="166"/>
      <c r="AA48" s="166"/>
      <c r="AB48" s="166"/>
      <c r="AC48" s="166"/>
      <c r="AD48" s="167"/>
      <c r="AE48" s="167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7"/>
      <c r="AR48" s="167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7"/>
      <c r="BE48" s="167"/>
      <c r="BF48" s="166"/>
      <c r="BG48" s="166"/>
      <c r="BH48" s="166"/>
      <c r="BI48" s="166"/>
      <c r="BJ48" s="166"/>
      <c r="BK48" s="166"/>
      <c r="BL48" s="166"/>
      <c r="BM48" s="166"/>
      <c r="BN48" s="166"/>
      <c r="BO48" s="166"/>
      <c r="BP48" s="166"/>
      <c r="BQ48" s="168"/>
    </row>
    <row r="49" spans="2:78" x14ac:dyDescent="0.25">
      <c r="B49" s="38" t="s">
        <v>54</v>
      </c>
      <c r="C49" s="195">
        <v>2000</v>
      </c>
      <c r="D49" s="126"/>
      <c r="E49" s="163"/>
      <c r="F49" s="164"/>
      <c r="G49" s="164"/>
      <c r="H49" s="165"/>
      <c r="I49" s="164"/>
      <c r="J49" s="166"/>
      <c r="K49" s="166"/>
      <c r="L49" s="166"/>
      <c r="M49" s="166"/>
      <c r="N49" s="166"/>
      <c r="O49" s="166"/>
      <c r="P49" s="166"/>
      <c r="Q49" s="181"/>
      <c r="R49" s="181"/>
      <c r="S49" s="181"/>
      <c r="T49" s="181"/>
      <c r="U49" s="182"/>
      <c r="V49" s="181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3"/>
      <c r="BK49" s="183"/>
      <c r="BL49" s="183"/>
      <c r="BM49" s="183"/>
      <c r="BN49" s="183"/>
      <c r="BO49" s="183"/>
      <c r="BP49" s="183"/>
      <c r="BQ49" s="184"/>
    </row>
    <row r="50" spans="2:78" x14ac:dyDescent="0.25">
      <c r="B50" s="38" t="s">
        <v>55</v>
      </c>
      <c r="C50" s="195">
        <v>3000</v>
      </c>
      <c r="D50" s="126"/>
      <c r="E50" s="163"/>
      <c r="F50" s="164"/>
      <c r="G50" s="164"/>
      <c r="H50" s="165"/>
      <c r="I50" s="164"/>
      <c r="J50" s="166"/>
      <c r="K50" s="166"/>
      <c r="L50" s="166"/>
      <c r="M50" s="166"/>
      <c r="N50" s="166"/>
      <c r="O50" s="166"/>
      <c r="P50" s="166"/>
      <c r="Q50" s="164"/>
      <c r="R50" s="164"/>
      <c r="S50" s="164"/>
      <c r="T50" s="164"/>
      <c r="U50" s="165"/>
      <c r="V50" s="164"/>
      <c r="W50" s="166"/>
      <c r="X50" s="166"/>
      <c r="Y50" s="166"/>
      <c r="Z50" s="166"/>
      <c r="AA50" s="166"/>
      <c r="AB50" s="166"/>
      <c r="AC50" s="166"/>
      <c r="AD50" s="167"/>
      <c r="AE50" s="167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7"/>
      <c r="AR50" s="167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7"/>
      <c r="BE50" s="167"/>
      <c r="BF50" s="166"/>
      <c r="BG50" s="166"/>
      <c r="BH50" s="166"/>
      <c r="BI50" s="166"/>
      <c r="BJ50" s="166"/>
      <c r="BK50" s="166"/>
      <c r="BL50" s="166"/>
      <c r="BM50" s="166"/>
      <c r="BN50" s="166"/>
      <c r="BO50" s="166"/>
      <c r="BP50" s="166"/>
      <c r="BQ50" s="168"/>
    </row>
    <row r="51" spans="2:78" x14ac:dyDescent="0.25">
      <c r="B51" s="33" t="s">
        <v>56</v>
      </c>
      <c r="C51" s="195">
        <v>4000</v>
      </c>
      <c r="D51" s="126"/>
      <c r="E51" s="163"/>
      <c r="F51" s="164"/>
      <c r="G51" s="164"/>
      <c r="H51" s="165"/>
      <c r="I51" s="164"/>
      <c r="J51" s="166"/>
      <c r="K51" s="166"/>
      <c r="L51" s="166"/>
      <c r="M51" s="166"/>
      <c r="N51" s="166"/>
      <c r="O51" s="166"/>
      <c r="P51" s="166"/>
      <c r="Q51" s="164"/>
      <c r="R51" s="164"/>
      <c r="S51" s="164"/>
      <c r="T51" s="164"/>
      <c r="U51" s="165"/>
      <c r="V51" s="164"/>
      <c r="W51" s="166"/>
      <c r="X51" s="166"/>
      <c r="Y51" s="166"/>
      <c r="Z51" s="166"/>
      <c r="AA51" s="166"/>
      <c r="AB51" s="166"/>
      <c r="AC51" s="166"/>
      <c r="AD51" s="167"/>
      <c r="AE51" s="167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7"/>
      <c r="AR51" s="167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7"/>
      <c r="BE51" s="167"/>
      <c r="BF51" s="166"/>
      <c r="BG51" s="166"/>
      <c r="BH51" s="166"/>
      <c r="BI51" s="166"/>
      <c r="BJ51" s="166"/>
      <c r="BK51" s="166"/>
      <c r="BL51" s="166"/>
      <c r="BM51" s="166"/>
      <c r="BN51" s="166"/>
      <c r="BO51" s="166"/>
      <c r="BP51" s="166"/>
      <c r="BQ51" s="168"/>
    </row>
    <row r="52" spans="2:78" ht="15.75" thickBot="1" x14ac:dyDescent="0.3">
      <c r="B52" s="39" t="s">
        <v>28</v>
      </c>
      <c r="C52" s="48">
        <f>SUM(C48:C51)</f>
        <v>10500</v>
      </c>
      <c r="D52" s="126"/>
      <c r="E52" s="163"/>
      <c r="F52" s="164"/>
      <c r="G52" s="164"/>
      <c r="H52" s="165"/>
      <c r="I52" s="164"/>
      <c r="J52" s="166"/>
      <c r="K52" s="166"/>
      <c r="L52" s="166"/>
      <c r="M52" s="166"/>
      <c r="N52" s="166"/>
      <c r="O52" s="166"/>
      <c r="P52" s="166"/>
      <c r="Q52" s="164"/>
      <c r="R52" s="164"/>
      <c r="S52" s="164"/>
      <c r="T52" s="164"/>
      <c r="U52" s="165"/>
      <c r="V52" s="164"/>
      <c r="W52" s="166"/>
      <c r="X52" s="166"/>
      <c r="Y52" s="166"/>
      <c r="Z52" s="166"/>
      <c r="AA52" s="166"/>
      <c r="AB52" s="166"/>
      <c r="AC52" s="166"/>
      <c r="AD52" s="167"/>
      <c r="AE52" s="167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7"/>
      <c r="AR52" s="167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7"/>
      <c r="BE52" s="167"/>
      <c r="BF52" s="166"/>
      <c r="BG52" s="166"/>
      <c r="BH52" s="166"/>
      <c r="BI52" s="166"/>
      <c r="BJ52" s="166"/>
      <c r="BK52" s="166"/>
      <c r="BL52" s="166"/>
      <c r="BM52" s="166"/>
      <c r="BN52" s="166"/>
      <c r="BO52" s="166"/>
      <c r="BP52" s="166"/>
      <c r="BQ52" s="168"/>
      <c r="BV52" s="1"/>
      <c r="BW52" s="1"/>
      <c r="BX52" s="1"/>
      <c r="BY52" s="1"/>
      <c r="BZ52" s="1"/>
    </row>
    <row r="53" spans="2:78" s="1" customFormat="1" x14ac:dyDescent="0.25">
      <c r="B53" s="26" t="s">
        <v>60</v>
      </c>
      <c r="C53" s="200">
        <f>C45/C52</f>
        <v>5.4166666666666669E-2</v>
      </c>
      <c r="D53" s="126"/>
      <c r="E53" s="163"/>
      <c r="F53" s="164"/>
      <c r="G53" s="164"/>
      <c r="H53" s="165"/>
      <c r="I53" s="164"/>
      <c r="J53" s="166"/>
      <c r="K53" s="166"/>
      <c r="L53" s="166"/>
      <c r="M53" s="166"/>
      <c r="N53" s="166"/>
      <c r="O53" s="166"/>
      <c r="P53" s="166"/>
      <c r="Q53" s="164"/>
      <c r="R53" s="164"/>
      <c r="S53" s="164"/>
      <c r="T53" s="164"/>
      <c r="U53" s="165"/>
      <c r="V53" s="164"/>
      <c r="W53" s="166"/>
      <c r="X53" s="166"/>
      <c r="Y53" s="166"/>
      <c r="Z53" s="166"/>
      <c r="AA53" s="166"/>
      <c r="AB53" s="166"/>
      <c r="AC53" s="166"/>
      <c r="AD53" s="167"/>
      <c r="AE53" s="167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7"/>
      <c r="AR53" s="167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7"/>
      <c r="BE53" s="167"/>
      <c r="BF53" s="166"/>
      <c r="BG53" s="166"/>
      <c r="BH53" s="166"/>
      <c r="BI53" s="166"/>
      <c r="BJ53" s="166"/>
      <c r="BK53" s="166"/>
      <c r="BL53" s="166"/>
      <c r="BM53" s="166"/>
      <c r="BN53" s="166"/>
      <c r="BO53" s="166"/>
      <c r="BP53" s="166"/>
      <c r="BQ53" s="168"/>
      <c r="BV53"/>
      <c r="BW53"/>
      <c r="BX53"/>
      <c r="BY53"/>
      <c r="BZ53"/>
    </row>
    <row r="54" spans="2:78" s="3" customFormat="1" ht="15.75" thickBot="1" x14ac:dyDescent="0.3">
      <c r="B54" s="26" t="s">
        <v>61</v>
      </c>
      <c r="C54" s="201">
        <f>C46/C52</f>
        <v>8.7499999999999994E-2</v>
      </c>
      <c r="D54" s="126"/>
      <c r="E54" s="169"/>
      <c r="F54" s="170"/>
      <c r="G54" s="170"/>
      <c r="H54" s="171"/>
      <c r="I54" s="170"/>
      <c r="J54" s="172"/>
      <c r="K54" s="172"/>
      <c r="L54" s="172"/>
      <c r="M54" s="172"/>
      <c r="N54" s="172"/>
      <c r="O54" s="172"/>
      <c r="P54" s="172"/>
      <c r="Q54" s="170"/>
      <c r="R54" s="170"/>
      <c r="S54" s="170"/>
      <c r="T54" s="170"/>
      <c r="U54" s="171"/>
      <c r="V54" s="170"/>
      <c r="W54" s="172"/>
      <c r="X54" s="172"/>
      <c r="Y54" s="172"/>
      <c r="Z54" s="172"/>
      <c r="AA54" s="172"/>
      <c r="AB54" s="172"/>
      <c r="AC54" s="172"/>
      <c r="AD54" s="173"/>
      <c r="AE54" s="173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3"/>
      <c r="AR54" s="173"/>
      <c r="AS54" s="172"/>
      <c r="AT54" s="172"/>
      <c r="AU54" s="172"/>
      <c r="AV54" s="172"/>
      <c r="AW54" s="172"/>
      <c r="AX54" s="172"/>
      <c r="AY54" s="172"/>
      <c r="AZ54" s="172"/>
      <c r="BA54" s="172"/>
      <c r="BB54" s="172"/>
      <c r="BC54" s="172"/>
      <c r="BD54" s="173"/>
      <c r="BE54" s="173"/>
      <c r="BF54" s="172"/>
      <c r="BG54" s="172"/>
      <c r="BH54" s="172"/>
      <c r="BI54" s="172"/>
      <c r="BJ54" s="172"/>
      <c r="BK54" s="172"/>
      <c r="BL54" s="172"/>
      <c r="BM54" s="172"/>
      <c r="BN54" s="172"/>
      <c r="BO54" s="172"/>
      <c r="BP54" s="172"/>
      <c r="BQ54" s="174"/>
      <c r="BV54"/>
      <c r="BW54"/>
      <c r="BX54"/>
      <c r="BY54"/>
      <c r="BZ54"/>
    </row>
    <row r="55" spans="2:78" x14ac:dyDescent="0.25">
      <c r="D55" s="161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</row>
    <row r="56" spans="2:78" x14ac:dyDescent="0.25">
      <c r="B56" s="12" t="s">
        <v>29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45"/>
      <c r="BT56" s="247" t="s">
        <v>101</v>
      </c>
      <c r="BU56" s="216" t="s">
        <v>102</v>
      </c>
    </row>
    <row r="57" spans="2:78" x14ac:dyDescent="0.25">
      <c r="B57" s="98"/>
      <c r="C57" s="97" t="s">
        <v>59</v>
      </c>
      <c r="D57" s="258"/>
      <c r="E57" s="97" t="s">
        <v>30</v>
      </c>
      <c r="F57" s="97" t="s">
        <v>31</v>
      </c>
      <c r="G57" s="97" t="s">
        <v>32</v>
      </c>
      <c r="H57" s="97" t="s">
        <v>33</v>
      </c>
      <c r="I57" s="97" t="s">
        <v>80</v>
      </c>
      <c r="J57" s="97" t="s">
        <v>81</v>
      </c>
      <c r="K57" s="97" t="s">
        <v>82</v>
      </c>
      <c r="L57" s="97" t="s">
        <v>83</v>
      </c>
      <c r="M57" s="97" t="s">
        <v>84</v>
      </c>
      <c r="N57" s="97" t="s">
        <v>85</v>
      </c>
      <c r="O57" s="97" t="s">
        <v>86</v>
      </c>
      <c r="P57" s="97" t="s">
        <v>87</v>
      </c>
      <c r="Q57" s="92" t="s">
        <v>18</v>
      </c>
      <c r="R57" s="176"/>
      <c r="S57" s="176"/>
      <c r="T57" s="176"/>
      <c r="U57" s="177"/>
      <c r="V57" s="176"/>
      <c r="W57" s="178"/>
      <c r="X57" s="178"/>
      <c r="Y57" s="178"/>
      <c r="Z57" s="178"/>
      <c r="AA57" s="178"/>
      <c r="AB57" s="178"/>
      <c r="AC57" s="178"/>
      <c r="AD57" s="93" t="s">
        <v>30</v>
      </c>
      <c r="AE57" s="179"/>
      <c r="AF57" s="178"/>
      <c r="AG57" s="178"/>
      <c r="AH57" s="178"/>
      <c r="AI57" s="178"/>
      <c r="AJ57" s="178"/>
      <c r="AK57" s="178"/>
      <c r="AL57" s="178"/>
      <c r="AM57" s="178"/>
      <c r="AN57" s="178"/>
      <c r="AO57" s="178"/>
      <c r="AP57" s="178"/>
      <c r="AQ57" s="94" t="s">
        <v>31</v>
      </c>
      <c r="AR57" s="179"/>
      <c r="AS57" s="178"/>
      <c r="AT57" s="178"/>
      <c r="AU57" s="178"/>
      <c r="AV57" s="178"/>
      <c r="AW57" s="178"/>
      <c r="AX57" s="178"/>
      <c r="AY57" s="178"/>
      <c r="AZ57" s="178"/>
      <c r="BA57" s="178"/>
      <c r="BB57" s="178"/>
      <c r="BC57" s="178"/>
      <c r="BD57" s="95" t="s">
        <v>32</v>
      </c>
      <c r="BE57" s="179"/>
      <c r="BF57" s="178"/>
      <c r="BG57" s="178"/>
      <c r="BH57" s="178"/>
      <c r="BI57" s="178"/>
      <c r="BJ57" s="178"/>
      <c r="BK57" s="178"/>
      <c r="BL57" s="178"/>
      <c r="BM57" s="178"/>
      <c r="BN57" s="178"/>
      <c r="BO57" s="178"/>
      <c r="BP57" s="178"/>
      <c r="BQ57" s="96" t="s">
        <v>33</v>
      </c>
      <c r="BS57" s="217" t="str">
        <f>PROPER($Q$2)</f>
        <v>Year 1</v>
      </c>
      <c r="BT57" s="218">
        <f>SUM(D$58:D59)</f>
        <v>-344.54007018736752</v>
      </c>
      <c r="BU57" s="248">
        <f>C59</f>
        <v>-0.98440020053533583</v>
      </c>
    </row>
    <row r="58" spans="2:78" ht="15.75" thickBot="1" x14ac:dyDescent="0.3">
      <c r="B58" s="98" t="s">
        <v>34</v>
      </c>
      <c r="C58" s="199">
        <f>-C44</f>
        <v>-350</v>
      </c>
      <c r="D58" s="259">
        <f>$C$58</f>
        <v>-350</v>
      </c>
      <c r="E58" s="197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44">
        <f>Q34</f>
        <v>5.4599298126324651</v>
      </c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5"/>
      <c r="AD58" s="73">
        <f>AD34</f>
        <v>9.75</v>
      </c>
      <c r="AE58" s="123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60">
        <f>AQ34</f>
        <v>69.5</v>
      </c>
      <c r="AR58" s="123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58">
        <f>BD34</f>
        <v>94.48</v>
      </c>
      <c r="BE58" s="123"/>
      <c r="BF58" s="122"/>
      <c r="BG58" s="122"/>
      <c r="BH58" s="122"/>
      <c r="BI58" s="122"/>
      <c r="BJ58" s="122"/>
      <c r="BK58" s="122"/>
      <c r="BL58" s="122"/>
      <c r="BM58" s="122"/>
      <c r="BN58" s="122"/>
      <c r="BO58" s="122"/>
      <c r="BP58" s="122"/>
      <c r="BQ58" s="59">
        <f>BQ34</f>
        <v>114.69</v>
      </c>
      <c r="BS58" s="217" t="str">
        <f>PROPER($AD$2)</f>
        <v>Year 2</v>
      </c>
      <c r="BT58" s="218">
        <f>SUM(D$58:D60)</f>
        <v>-334.79007018736752</v>
      </c>
      <c r="BU58" s="248">
        <f>C60</f>
        <v>-0.82511335245989792</v>
      </c>
    </row>
    <row r="59" spans="2:78" x14ac:dyDescent="0.25">
      <c r="B59" s="22" t="s">
        <v>70</v>
      </c>
      <c r="C59" s="202">
        <f>IRR(D$58:D59)</f>
        <v>-0.98440020053533583</v>
      </c>
      <c r="D59" s="255">
        <f>$Q$58</f>
        <v>5.4599298126324651</v>
      </c>
      <c r="E59" s="164"/>
      <c r="F59" s="164"/>
      <c r="G59" s="164"/>
      <c r="H59" s="165"/>
      <c r="I59" s="164"/>
      <c r="J59" s="166"/>
      <c r="K59" s="166"/>
      <c r="L59" s="166"/>
      <c r="M59" s="166"/>
      <c r="N59" s="166"/>
      <c r="O59" s="166"/>
      <c r="P59" s="166"/>
      <c r="Q59" s="164"/>
      <c r="R59" s="164"/>
      <c r="S59" s="164"/>
      <c r="T59" s="164"/>
      <c r="U59" s="165"/>
      <c r="V59" s="164"/>
      <c r="W59" s="166"/>
      <c r="X59" s="166"/>
      <c r="Y59" s="166"/>
      <c r="Z59" s="166"/>
      <c r="AA59" s="166"/>
      <c r="AB59" s="166"/>
      <c r="AC59" s="166"/>
      <c r="AD59" s="167"/>
      <c r="AE59" s="167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7"/>
      <c r="AR59" s="167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7"/>
      <c r="BE59" s="167"/>
      <c r="BF59" s="166"/>
      <c r="BG59" s="166"/>
      <c r="BH59" s="166"/>
      <c r="BI59" s="166"/>
      <c r="BJ59" s="166"/>
      <c r="BK59" s="166"/>
      <c r="BL59" s="166"/>
      <c r="BM59" s="166"/>
      <c r="BN59" s="166"/>
      <c r="BO59" s="166"/>
      <c r="BP59" s="166"/>
      <c r="BQ59" s="168"/>
      <c r="BS59" s="217" t="str">
        <f>PROPER($AQ$2)</f>
        <v>Year 3</v>
      </c>
      <c r="BT59" s="218">
        <f>SUM(D$58:D61)</f>
        <v>-265.29007018736752</v>
      </c>
      <c r="BU59" s="248">
        <f>C61</f>
        <v>-0.39529520856202505</v>
      </c>
    </row>
    <row r="60" spans="2:78" x14ac:dyDescent="0.25">
      <c r="B60" s="22" t="s">
        <v>71</v>
      </c>
      <c r="C60" s="203">
        <f>IRR(D$58:D60)</f>
        <v>-0.82511335245989792</v>
      </c>
      <c r="D60" s="256">
        <f>$AD$58</f>
        <v>9.75</v>
      </c>
      <c r="E60" s="164"/>
      <c r="F60" s="164"/>
      <c r="G60" s="164"/>
      <c r="H60" s="165"/>
      <c r="I60" s="164"/>
      <c r="J60" s="166"/>
      <c r="K60" s="166"/>
      <c r="L60" s="166"/>
      <c r="M60" s="166"/>
      <c r="N60" s="166"/>
      <c r="O60" s="166"/>
      <c r="P60" s="166"/>
      <c r="Q60" s="164"/>
      <c r="R60" s="164"/>
      <c r="S60" s="164"/>
      <c r="T60" s="164"/>
      <c r="U60" s="165"/>
      <c r="V60" s="164"/>
      <c r="W60" s="166"/>
      <c r="X60" s="166"/>
      <c r="Y60" s="166"/>
      <c r="Z60" s="166"/>
      <c r="AA60" s="166"/>
      <c r="AB60" s="166"/>
      <c r="AC60" s="166"/>
      <c r="AD60" s="167"/>
      <c r="AE60" s="167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7"/>
      <c r="AR60" s="167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7"/>
      <c r="BE60" s="167"/>
      <c r="BF60" s="166"/>
      <c r="BG60" s="166"/>
      <c r="BH60" s="166"/>
      <c r="BI60" s="166"/>
      <c r="BJ60" s="166"/>
      <c r="BK60" s="166"/>
      <c r="BL60" s="166"/>
      <c r="BM60" s="166"/>
      <c r="BN60" s="166"/>
      <c r="BO60" s="166"/>
      <c r="BP60" s="166"/>
      <c r="BQ60" s="168"/>
      <c r="BS60" s="217" t="str">
        <f>PROPER($BD$2)</f>
        <v>Year 4</v>
      </c>
      <c r="BT60" s="218">
        <f>SUM(D$58:D62)</f>
        <v>-170.8100701873675</v>
      </c>
      <c r="BU60" s="248">
        <f>C62</f>
        <v>-0.17589839535994589</v>
      </c>
    </row>
    <row r="61" spans="2:78" x14ac:dyDescent="0.25">
      <c r="B61" s="22" t="s">
        <v>72</v>
      </c>
      <c r="C61" s="203">
        <f>IRR(D$58:D61)</f>
        <v>-0.39529520856202505</v>
      </c>
      <c r="D61" s="256">
        <f>$AQ$58</f>
        <v>69.5</v>
      </c>
      <c r="E61" s="164"/>
      <c r="F61" s="164"/>
      <c r="G61" s="164"/>
      <c r="H61" s="165"/>
      <c r="I61" s="164"/>
      <c r="J61" s="166"/>
      <c r="K61" s="166"/>
      <c r="L61" s="166"/>
      <c r="M61" s="166"/>
      <c r="N61" s="166"/>
      <c r="O61" s="166"/>
      <c r="P61" s="166"/>
      <c r="Q61" s="164"/>
      <c r="R61" s="164"/>
      <c r="S61" s="164"/>
      <c r="T61" s="164"/>
      <c r="U61" s="165"/>
      <c r="V61" s="164"/>
      <c r="W61" s="166"/>
      <c r="X61" s="166"/>
      <c r="Y61" s="166"/>
      <c r="Z61" s="166"/>
      <c r="AA61" s="166"/>
      <c r="AB61" s="166"/>
      <c r="AC61" s="166"/>
      <c r="AD61" s="167"/>
      <c r="AE61" s="167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7"/>
      <c r="AR61" s="167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7"/>
      <c r="BE61" s="167"/>
      <c r="BF61" s="166"/>
      <c r="BG61" s="166"/>
      <c r="BH61" s="166"/>
      <c r="BI61" s="166"/>
      <c r="BJ61" s="166"/>
      <c r="BK61" s="166"/>
      <c r="BL61" s="166"/>
      <c r="BM61" s="166"/>
      <c r="BN61" s="166"/>
      <c r="BO61" s="166"/>
      <c r="BP61" s="166"/>
      <c r="BQ61" s="168"/>
      <c r="BS61" s="220" t="str">
        <f>PROPER($BQ$2)</f>
        <v>Year 5</v>
      </c>
      <c r="BT61" s="221">
        <f>SUM(D$58:D63)</f>
        <v>-56.120070187367503</v>
      </c>
      <c r="BU61" s="249">
        <f>C63</f>
        <v>-4.2218751408442223E-2</v>
      </c>
    </row>
    <row r="62" spans="2:78" x14ac:dyDescent="0.25">
      <c r="B62" s="22" t="s">
        <v>73</v>
      </c>
      <c r="C62" s="203">
        <f>IRR(D$58:D62)</f>
        <v>-0.17589839535994589</v>
      </c>
      <c r="D62" s="256">
        <f>$BD$58</f>
        <v>94.48</v>
      </c>
      <c r="E62" s="164"/>
      <c r="F62" s="164"/>
      <c r="G62" s="164"/>
      <c r="H62" s="165"/>
      <c r="I62" s="164"/>
      <c r="J62" s="166"/>
      <c r="K62" s="166"/>
      <c r="L62" s="166"/>
      <c r="M62" s="166"/>
      <c r="N62" s="166"/>
      <c r="O62" s="166"/>
      <c r="P62" s="166"/>
      <c r="Q62" s="164"/>
      <c r="R62" s="164"/>
      <c r="S62" s="164"/>
      <c r="T62" s="164"/>
      <c r="U62" s="165"/>
      <c r="V62" s="164"/>
      <c r="W62" s="166"/>
      <c r="X62" s="166"/>
      <c r="Y62" s="166"/>
      <c r="Z62" s="166"/>
      <c r="AA62" s="166"/>
      <c r="AB62" s="166"/>
      <c r="AC62" s="166"/>
      <c r="AD62" s="167"/>
      <c r="AE62" s="167"/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7"/>
      <c r="AR62" s="167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7"/>
      <c r="BE62" s="167"/>
      <c r="BF62" s="166"/>
      <c r="BG62" s="166"/>
      <c r="BH62" s="166"/>
      <c r="BI62" s="166"/>
      <c r="BJ62" s="166"/>
      <c r="BK62" s="166"/>
      <c r="BL62" s="166"/>
      <c r="BM62" s="166"/>
      <c r="BN62" s="166"/>
      <c r="BO62" s="166"/>
      <c r="BP62" s="166"/>
      <c r="BQ62" s="168"/>
    </row>
    <row r="63" spans="2:78" ht="15.75" thickBot="1" x14ac:dyDescent="0.3">
      <c r="B63" s="22" t="s">
        <v>74</v>
      </c>
      <c r="C63" s="204">
        <f>IRR(D$58:D63)</f>
        <v>-4.2218751408442223E-2</v>
      </c>
      <c r="D63" s="257">
        <f>$BQ$58</f>
        <v>114.69</v>
      </c>
      <c r="E63" s="170"/>
      <c r="F63" s="170"/>
      <c r="G63" s="170"/>
      <c r="H63" s="171"/>
      <c r="I63" s="170"/>
      <c r="J63" s="172"/>
      <c r="K63" s="172"/>
      <c r="L63" s="172"/>
      <c r="M63" s="172"/>
      <c r="N63" s="172"/>
      <c r="O63" s="172"/>
      <c r="P63" s="172"/>
      <c r="Q63" s="170"/>
      <c r="R63" s="170"/>
      <c r="S63" s="170"/>
      <c r="T63" s="170"/>
      <c r="U63" s="171"/>
      <c r="V63" s="170"/>
      <c r="W63" s="172"/>
      <c r="X63" s="172"/>
      <c r="Y63" s="172"/>
      <c r="Z63" s="172"/>
      <c r="AA63" s="172"/>
      <c r="AB63" s="172"/>
      <c r="AC63" s="172"/>
      <c r="AD63" s="173"/>
      <c r="AE63" s="173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3"/>
      <c r="AR63" s="173"/>
      <c r="AS63" s="172"/>
      <c r="AT63" s="172"/>
      <c r="AU63" s="172"/>
      <c r="AV63" s="172"/>
      <c r="AW63" s="172"/>
      <c r="AX63" s="172"/>
      <c r="AY63" s="172"/>
      <c r="AZ63" s="172"/>
      <c r="BA63" s="172"/>
      <c r="BB63" s="172"/>
      <c r="BC63" s="172"/>
      <c r="BD63" s="173"/>
      <c r="BE63" s="173"/>
      <c r="BF63" s="172"/>
      <c r="BG63" s="172"/>
      <c r="BH63" s="172"/>
      <c r="BI63" s="172"/>
      <c r="BJ63" s="172"/>
      <c r="BK63" s="172"/>
      <c r="BL63" s="172"/>
      <c r="BM63" s="172"/>
      <c r="BN63" s="172"/>
      <c r="BO63" s="172"/>
      <c r="BP63" s="172"/>
      <c r="BQ63" s="174"/>
    </row>
    <row r="65" spans="6:10" x14ac:dyDescent="0.25">
      <c r="F65" s="4"/>
      <c r="G65" s="4"/>
      <c r="H65" s="4"/>
      <c r="I65" s="4"/>
      <c r="J65" s="4"/>
    </row>
  </sheetData>
  <sheetProtection algorithmName="SHA-512" hashValue="yXThnuuUjSdGvt01Nt0n6mUlQw0K6LxMZVIPcZP7C2yg0yTNbnc+JlwSKEg9A75KJrT4Yc0qDYsjoun5ITQYOg==" saltValue="1kTkrFniw8DbADIVlRwM3Q==" spinCount="100000" sheet="1" objects="1" scenarios="1"/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Income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Beber</dc:creator>
  <cp:lastModifiedBy>Scott Beber</cp:lastModifiedBy>
  <cp:lastPrinted>2018-10-30T22:43:07Z</cp:lastPrinted>
  <dcterms:created xsi:type="dcterms:W3CDTF">2014-09-13T03:06:10Z</dcterms:created>
  <dcterms:modified xsi:type="dcterms:W3CDTF">2018-10-30T23:13:46Z</dcterms:modified>
</cp:coreProperties>
</file>