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8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ScottsFiles\Documents\Work\0 - ExcelModels\Website\Models\Models to approve\"/>
    </mc:Choice>
  </mc:AlternateContent>
  <xr:revisionPtr revIDLastSave="0" documentId="13_ncr:1_{C60872D4-4A6E-4B3E-91D5-D3A8972D8638}" xr6:coauthVersionLast="37" xr6:coauthVersionMax="37" xr10:uidLastSave="{00000000-0000-0000-0000-000000000000}"/>
  <bookViews>
    <workbookView xWindow="9600" yWindow="-15" windowWidth="9630" windowHeight="7710" tabRatio="565" xr2:uid="{00000000-000D-0000-FFFF-FFFF00000000}"/>
  </bookViews>
  <sheets>
    <sheet name="RevExp" sheetId="26" r:id="rId1"/>
    <sheet name="Debt" sheetId="23" r:id="rId2"/>
    <sheet name="P&amp;L" sheetId="1" r:id="rId3"/>
    <sheet name="BalSheet" sheetId="6" r:id="rId4"/>
    <sheet name="CashFlow" sheetId="13" r:id="rId5"/>
    <sheet name="KPI" sheetId="24" r:id="rId6"/>
  </sheets>
  <calcPr calcId="1790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M24" i="24" l="1"/>
  <c r="L24" i="24"/>
  <c r="K24" i="24"/>
  <c r="J24" i="24"/>
  <c r="I24" i="24"/>
  <c r="H24" i="24"/>
  <c r="G24" i="24"/>
  <c r="F24" i="24"/>
  <c r="E24" i="24"/>
  <c r="D24" i="24"/>
  <c r="D30" i="13" l="1"/>
  <c r="E25" i="13"/>
  <c r="F25" i="13"/>
  <c r="G25" i="13"/>
  <c r="H25" i="13"/>
  <c r="I25" i="13"/>
  <c r="J25" i="13"/>
  <c r="K25" i="13"/>
  <c r="L25" i="13"/>
  <c r="M25" i="13"/>
  <c r="D25" i="13"/>
  <c r="E24" i="13"/>
  <c r="F24" i="13"/>
  <c r="G24" i="13"/>
  <c r="H24" i="13"/>
  <c r="I24" i="13"/>
  <c r="J24" i="13"/>
  <c r="K24" i="13"/>
  <c r="L24" i="13"/>
  <c r="M24" i="13"/>
  <c r="D24" i="13"/>
  <c r="D24" i="1"/>
  <c r="D17" i="13"/>
  <c r="D18" i="13"/>
  <c r="D11" i="13"/>
  <c r="D9" i="13"/>
  <c r="D8" i="13"/>
  <c r="D7" i="13"/>
  <c r="F5" i="6"/>
  <c r="G5" i="6" s="1"/>
  <c r="H5" i="6" s="1"/>
  <c r="E6" i="6"/>
  <c r="F6" i="6" s="1"/>
  <c r="G6" i="6" s="1"/>
  <c r="H6" i="6" s="1"/>
  <c r="I6" i="6" s="1"/>
  <c r="J6" i="6" s="1"/>
  <c r="K6" i="6" s="1"/>
  <c r="L6" i="6" s="1"/>
  <c r="M6" i="6" s="1"/>
  <c r="E5" i="6"/>
  <c r="E7" i="13" s="1"/>
  <c r="E5" i="13"/>
  <c r="F5" i="13"/>
  <c r="G5" i="13"/>
  <c r="H5" i="13"/>
  <c r="I5" i="13"/>
  <c r="J5" i="13"/>
  <c r="K5" i="13"/>
  <c r="L5" i="13"/>
  <c r="M5" i="13"/>
  <c r="D5" i="13"/>
  <c r="E10" i="1"/>
  <c r="E30" i="24" s="1"/>
  <c r="F10" i="1"/>
  <c r="F30" i="24" s="1"/>
  <c r="G10" i="1"/>
  <c r="G30" i="24" s="1"/>
  <c r="H10" i="1"/>
  <c r="H30" i="24" s="1"/>
  <c r="I10" i="1"/>
  <c r="I30" i="24" s="1"/>
  <c r="J10" i="1"/>
  <c r="J30" i="24" s="1"/>
  <c r="K10" i="1"/>
  <c r="K30" i="24" s="1"/>
  <c r="L10" i="1"/>
  <c r="L30" i="24" s="1"/>
  <c r="M10" i="1"/>
  <c r="M30" i="24" s="1"/>
  <c r="D10" i="1"/>
  <c r="D30" i="24" s="1"/>
  <c r="E7" i="1"/>
  <c r="E26" i="24" s="1"/>
  <c r="F7" i="1"/>
  <c r="F26" i="24" s="1"/>
  <c r="G7" i="1"/>
  <c r="G26" i="24" s="1"/>
  <c r="H7" i="1"/>
  <c r="H26" i="24" s="1"/>
  <c r="I7" i="1"/>
  <c r="I26" i="24" s="1"/>
  <c r="J7" i="1"/>
  <c r="J26" i="24" s="1"/>
  <c r="K7" i="1"/>
  <c r="K26" i="24" s="1"/>
  <c r="L7" i="1"/>
  <c r="L26" i="24" s="1"/>
  <c r="M7" i="1"/>
  <c r="M26" i="24" s="1"/>
  <c r="D7" i="1"/>
  <c r="D26" i="24" s="1"/>
  <c r="D28" i="24" s="1"/>
  <c r="E5" i="1"/>
  <c r="E29" i="24" s="1"/>
  <c r="F5" i="1"/>
  <c r="F29" i="24" s="1"/>
  <c r="G5" i="1"/>
  <c r="G29" i="24" s="1"/>
  <c r="H5" i="1"/>
  <c r="H29" i="24" s="1"/>
  <c r="I5" i="1"/>
  <c r="I29" i="24" s="1"/>
  <c r="J5" i="1"/>
  <c r="J29" i="24" s="1"/>
  <c r="K5" i="1"/>
  <c r="K29" i="24" s="1"/>
  <c r="L5" i="1"/>
  <c r="L29" i="24" s="1"/>
  <c r="M5" i="1"/>
  <c r="M29" i="24" s="1"/>
  <c r="D5" i="1"/>
  <c r="D29" i="24" s="1"/>
  <c r="E4" i="1"/>
  <c r="E25" i="24" s="1"/>
  <c r="E27" i="24" s="1"/>
  <c r="E28" i="24" s="1"/>
  <c r="F4" i="1"/>
  <c r="F25" i="24" s="1"/>
  <c r="F27" i="24" s="1"/>
  <c r="F28" i="24" s="1"/>
  <c r="G4" i="1"/>
  <c r="G25" i="24" s="1"/>
  <c r="G27" i="24" s="1"/>
  <c r="G28" i="24" s="1"/>
  <c r="H4" i="1"/>
  <c r="H25" i="24" s="1"/>
  <c r="H27" i="24" s="1"/>
  <c r="H28" i="24" s="1"/>
  <c r="I4" i="1"/>
  <c r="I25" i="24" s="1"/>
  <c r="I27" i="24" s="1"/>
  <c r="I28" i="24" s="1"/>
  <c r="J4" i="1"/>
  <c r="J25" i="24" s="1"/>
  <c r="J27" i="24" s="1"/>
  <c r="J28" i="24" s="1"/>
  <c r="K4" i="1"/>
  <c r="K25" i="24" s="1"/>
  <c r="K27" i="24" s="1"/>
  <c r="K28" i="24" s="1"/>
  <c r="L4" i="1"/>
  <c r="L25" i="24" s="1"/>
  <c r="L27" i="24" s="1"/>
  <c r="L28" i="24" s="1"/>
  <c r="M4" i="1"/>
  <c r="M25" i="24" s="1"/>
  <c r="M27" i="24" s="1"/>
  <c r="M28" i="24" s="1"/>
  <c r="D4" i="1"/>
  <c r="D25" i="24" s="1"/>
  <c r="D27" i="24" s="1"/>
  <c r="E11" i="6"/>
  <c r="F11" i="6" s="1"/>
  <c r="G11" i="6" s="1"/>
  <c r="H11" i="6" s="1"/>
  <c r="I11" i="6" s="1"/>
  <c r="J11" i="6" s="1"/>
  <c r="K11" i="6" s="1"/>
  <c r="L11" i="6" s="1"/>
  <c r="M11" i="6" s="1"/>
  <c r="E8" i="6"/>
  <c r="F8" i="6" s="1"/>
  <c r="G8" i="6" s="1"/>
  <c r="H8" i="6" s="1"/>
  <c r="I8" i="6" s="1"/>
  <c r="J8" i="6" s="1"/>
  <c r="K8" i="6" s="1"/>
  <c r="L8" i="6" s="1"/>
  <c r="M8" i="6" s="1"/>
  <c r="E14" i="6"/>
  <c r="E9" i="13" s="1"/>
  <c r="E20" i="6"/>
  <c r="F20" i="6"/>
  <c r="G20" i="6"/>
  <c r="G12" i="13" s="1"/>
  <c r="H20" i="6"/>
  <c r="I20" i="6"/>
  <c r="I12" i="13" s="1"/>
  <c r="J20" i="6"/>
  <c r="K20" i="6"/>
  <c r="K12" i="13" s="1"/>
  <c r="L20" i="6"/>
  <c r="M20" i="6"/>
  <c r="E22" i="6"/>
  <c r="F22" i="6"/>
  <c r="F23" i="13" s="1"/>
  <c r="G22" i="6"/>
  <c r="H22" i="6"/>
  <c r="H23" i="13" s="1"/>
  <c r="I22" i="6"/>
  <c r="J22" i="6"/>
  <c r="J23" i="13" s="1"/>
  <c r="K22" i="6"/>
  <c r="L22" i="6"/>
  <c r="M22" i="6"/>
  <c r="D22" i="6"/>
  <c r="D23" i="13" s="1"/>
  <c r="D20" i="6"/>
  <c r="D12" i="13" s="1"/>
  <c r="F12" i="13" l="1"/>
  <c r="K23" i="13"/>
  <c r="L12" i="13"/>
  <c r="M8" i="13"/>
  <c r="G23" i="13"/>
  <c r="H7" i="13"/>
  <c r="F18" i="13"/>
  <c r="E18" i="13"/>
  <c r="H12" i="13"/>
  <c r="J8" i="13"/>
  <c r="I8" i="13"/>
  <c r="M18" i="13"/>
  <c r="G8" i="13"/>
  <c r="J18" i="13"/>
  <c r="F8" i="13"/>
  <c r="I18" i="13"/>
  <c r="E8" i="13"/>
  <c r="G18" i="13"/>
  <c r="F7" i="13"/>
  <c r="M23" i="13"/>
  <c r="E23" i="13"/>
  <c r="L8" i="13"/>
  <c r="L18" i="13"/>
  <c r="L23" i="13"/>
  <c r="M12" i="13"/>
  <c r="E12" i="13"/>
  <c r="K8" i="13"/>
  <c r="K18" i="13"/>
  <c r="F14" i="6"/>
  <c r="F9" i="13" s="1"/>
  <c r="I23" i="13"/>
  <c r="J12" i="13"/>
  <c r="H8" i="13"/>
  <c r="H18" i="13"/>
  <c r="G7" i="13"/>
  <c r="K32" i="24"/>
  <c r="K33" i="24" s="1"/>
  <c r="K35" i="24"/>
  <c r="K36" i="24" s="1"/>
  <c r="J32" i="24"/>
  <c r="J33" i="24" s="1"/>
  <c r="J35" i="24"/>
  <c r="J36" i="24" s="1"/>
  <c r="I32" i="24"/>
  <c r="I33" i="24" s="1"/>
  <c r="I35" i="24"/>
  <c r="I36" i="24" s="1"/>
  <c r="H32" i="24"/>
  <c r="H33" i="24" s="1"/>
  <c r="H35" i="24"/>
  <c r="H36" i="24" s="1"/>
  <c r="G35" i="24"/>
  <c r="G36" i="24" s="1"/>
  <c r="G32" i="24"/>
  <c r="G33" i="24" s="1"/>
  <c r="D35" i="24"/>
  <c r="D36" i="24" s="1"/>
  <c r="D32" i="24"/>
  <c r="D33" i="24" s="1"/>
  <c r="F32" i="24"/>
  <c r="F33" i="24" s="1"/>
  <c r="F35" i="24"/>
  <c r="F36" i="24" s="1"/>
  <c r="M35" i="24"/>
  <c r="M36" i="24" s="1"/>
  <c r="M32" i="24"/>
  <c r="M33" i="24" s="1"/>
  <c r="E35" i="24"/>
  <c r="E36" i="24" s="1"/>
  <c r="E32" i="24"/>
  <c r="E33" i="24" s="1"/>
  <c r="L35" i="24"/>
  <c r="L36" i="24" s="1"/>
  <c r="L32" i="24"/>
  <c r="L33" i="24" s="1"/>
  <c r="K6" i="1"/>
  <c r="K8" i="1" s="1"/>
  <c r="K5" i="24" s="1"/>
  <c r="D6" i="1"/>
  <c r="D8" i="1" s="1"/>
  <c r="G6" i="1"/>
  <c r="G8" i="1" s="1"/>
  <c r="H6" i="1"/>
  <c r="H8" i="1" s="1"/>
  <c r="H5" i="24" s="1"/>
  <c r="I6" i="1"/>
  <c r="I8" i="1" s="1"/>
  <c r="L6" i="1"/>
  <c r="M6" i="1"/>
  <c r="E6" i="1"/>
  <c r="F6" i="1"/>
  <c r="J6" i="1"/>
  <c r="M24" i="1"/>
  <c r="J17" i="13"/>
  <c r="L24" i="1"/>
  <c r="I17" i="13"/>
  <c r="K24" i="1"/>
  <c r="H17" i="13"/>
  <c r="J24" i="1"/>
  <c r="K17" i="13"/>
  <c r="G17" i="13"/>
  <c r="I24" i="1"/>
  <c r="F17" i="13"/>
  <c r="H24" i="1"/>
  <c r="M17" i="13"/>
  <c r="E17" i="13"/>
  <c r="G24" i="1"/>
  <c r="E24" i="1"/>
  <c r="L17" i="13"/>
  <c r="F24" i="1"/>
  <c r="I5" i="6"/>
  <c r="E19" i="6"/>
  <c r="E11" i="13" s="1"/>
  <c r="E12" i="23"/>
  <c r="F12" i="23"/>
  <c r="G12" i="23"/>
  <c r="H12" i="23"/>
  <c r="I12" i="23"/>
  <c r="J12" i="23"/>
  <c r="K12" i="23"/>
  <c r="L12" i="23"/>
  <c r="M12" i="23"/>
  <c r="D12" i="23"/>
  <c r="E6" i="23"/>
  <c r="F6" i="23"/>
  <c r="G6" i="23"/>
  <c r="H6" i="23"/>
  <c r="H15" i="23" s="1"/>
  <c r="H15" i="1" s="1"/>
  <c r="I6" i="23"/>
  <c r="J6" i="23"/>
  <c r="K6" i="23"/>
  <c r="L6" i="23"/>
  <c r="M6" i="23"/>
  <c r="D6" i="23"/>
  <c r="D12" i="6"/>
  <c r="E12" i="6" s="1"/>
  <c r="F12" i="6" s="1"/>
  <c r="G12" i="6" s="1"/>
  <c r="H12" i="6" s="1"/>
  <c r="I12" i="6" s="1"/>
  <c r="J12" i="6" s="1"/>
  <c r="K12" i="6" s="1"/>
  <c r="L12" i="6" s="1"/>
  <c r="M12" i="6" s="1"/>
  <c r="D9" i="6"/>
  <c r="E9" i="6" s="1"/>
  <c r="I15" i="23" l="1"/>
  <c r="I15" i="1" s="1"/>
  <c r="F15" i="23"/>
  <c r="F15" i="1" s="1"/>
  <c r="K15" i="23"/>
  <c r="K15" i="1" s="1"/>
  <c r="G14" i="6"/>
  <c r="G9" i="13" s="1"/>
  <c r="I7" i="13"/>
  <c r="J15" i="23"/>
  <c r="J15" i="1" s="1"/>
  <c r="G15" i="23"/>
  <c r="G15" i="1" s="1"/>
  <c r="G11" i="1"/>
  <c r="G6" i="24" s="1"/>
  <c r="G5" i="24"/>
  <c r="D9" i="1"/>
  <c r="D5" i="24"/>
  <c r="I9" i="1"/>
  <c r="I5" i="24"/>
  <c r="E8" i="1"/>
  <c r="F8" i="1"/>
  <c r="J8" i="1"/>
  <c r="L8" i="1"/>
  <c r="G9" i="1"/>
  <c r="M8" i="1"/>
  <c r="M5" i="24" s="1"/>
  <c r="I11" i="1"/>
  <c r="I6" i="24" s="1"/>
  <c r="K9" i="1"/>
  <c r="K11" i="1"/>
  <c r="K6" i="24" s="1"/>
  <c r="H11" i="1"/>
  <c r="H6" i="24" s="1"/>
  <c r="H9" i="1"/>
  <c r="J5" i="6"/>
  <c r="M15" i="23"/>
  <c r="M15" i="1" s="1"/>
  <c r="E15" i="23"/>
  <c r="E15" i="1" s="1"/>
  <c r="L15" i="23"/>
  <c r="L15" i="1" s="1"/>
  <c r="D15" i="23"/>
  <c r="F19" i="6"/>
  <c r="F11" i="13" s="1"/>
  <c r="E21" i="6"/>
  <c r="E24" i="6" s="1"/>
  <c r="D13" i="6"/>
  <c r="F9" i="6"/>
  <c r="E10" i="6"/>
  <c r="D10" i="6"/>
  <c r="E28" i="26"/>
  <c r="F28" i="26"/>
  <c r="G28" i="26"/>
  <c r="H28" i="26"/>
  <c r="I28" i="26"/>
  <c r="J28" i="26"/>
  <c r="K28" i="26"/>
  <c r="L28" i="26"/>
  <c r="M28" i="26"/>
  <c r="D28" i="26"/>
  <c r="E15" i="26"/>
  <c r="F15" i="26"/>
  <c r="G15" i="26"/>
  <c r="H15" i="26"/>
  <c r="I15" i="26"/>
  <c r="J15" i="26"/>
  <c r="K15" i="26"/>
  <c r="L15" i="26"/>
  <c r="M15" i="26"/>
  <c r="D15" i="26"/>
  <c r="H14" i="6" l="1"/>
  <c r="H9" i="13" s="1"/>
  <c r="J7" i="13"/>
  <c r="F11" i="1"/>
  <c r="F6" i="24" s="1"/>
  <c r="F5" i="24"/>
  <c r="E9" i="1"/>
  <c r="E5" i="24"/>
  <c r="L9" i="1"/>
  <c r="L5" i="24"/>
  <c r="J11" i="1"/>
  <c r="J6" i="24" s="1"/>
  <c r="J5" i="24"/>
  <c r="J9" i="1"/>
  <c r="L11" i="1"/>
  <c r="L6" i="24" s="1"/>
  <c r="E11" i="1"/>
  <c r="E6" i="24" s="1"/>
  <c r="F9" i="1"/>
  <c r="M9" i="1"/>
  <c r="M11" i="1"/>
  <c r="M6" i="24" s="1"/>
  <c r="K5" i="6"/>
  <c r="J31" i="26"/>
  <c r="K31" i="26"/>
  <c r="I31" i="26"/>
  <c r="H31" i="26"/>
  <c r="G31" i="26"/>
  <c r="L31" i="26"/>
  <c r="D31" i="26"/>
  <c r="F31" i="26"/>
  <c r="M31" i="26"/>
  <c r="E31" i="26"/>
  <c r="G19" i="6"/>
  <c r="G11" i="13" s="1"/>
  <c r="F21" i="6"/>
  <c r="F24" i="6" s="1"/>
  <c r="E13" i="6"/>
  <c r="G9" i="6"/>
  <c r="F10" i="6"/>
  <c r="I14" i="6" l="1"/>
  <c r="I9" i="13" s="1"/>
  <c r="K7" i="13"/>
  <c r="L5" i="6"/>
  <c r="H19" i="6"/>
  <c r="H11" i="13" s="1"/>
  <c r="G21" i="6"/>
  <c r="G24" i="6" s="1"/>
  <c r="F13" i="6"/>
  <c r="H9" i="6"/>
  <c r="G10" i="6"/>
  <c r="L7" i="13" l="1"/>
  <c r="J14" i="6"/>
  <c r="J9" i="13"/>
  <c r="M5" i="6"/>
  <c r="M7" i="13" s="1"/>
  <c r="I19" i="6"/>
  <c r="I11" i="13" s="1"/>
  <c r="H21" i="6"/>
  <c r="H24" i="6" s="1"/>
  <c r="G13" i="6"/>
  <c r="I9" i="6"/>
  <c r="H10" i="6"/>
  <c r="K14" i="6" l="1"/>
  <c r="K9" i="13" s="1"/>
  <c r="J19" i="6"/>
  <c r="J11" i="13" s="1"/>
  <c r="I21" i="6"/>
  <c r="I24" i="6" s="1"/>
  <c r="H13" i="6"/>
  <c r="J9" i="6"/>
  <c r="I10" i="6"/>
  <c r="L14" i="6" l="1"/>
  <c r="L9" i="13" s="1"/>
  <c r="K19" i="6"/>
  <c r="K11" i="13" s="1"/>
  <c r="J21" i="6"/>
  <c r="J24" i="6" s="1"/>
  <c r="I13" i="6"/>
  <c r="K9" i="6"/>
  <c r="J10" i="6"/>
  <c r="M14" i="6" l="1"/>
  <c r="M9" i="13" s="1"/>
  <c r="L19" i="6"/>
  <c r="L11" i="13" s="1"/>
  <c r="K21" i="6"/>
  <c r="K24" i="6" s="1"/>
  <c r="J13" i="6"/>
  <c r="L9" i="6"/>
  <c r="K10" i="6"/>
  <c r="M19" i="6" l="1"/>
  <c r="L21" i="6"/>
  <c r="L24" i="6" s="1"/>
  <c r="K13" i="6"/>
  <c r="M9" i="6"/>
  <c r="M10" i="6" s="1"/>
  <c r="L10" i="6"/>
  <c r="M21" i="6" l="1"/>
  <c r="M24" i="6" s="1"/>
  <c r="M11" i="13"/>
  <c r="L13" i="6"/>
  <c r="M13" i="6"/>
  <c r="G14" i="1" l="1"/>
  <c r="G23" i="1" s="1"/>
  <c r="G17" i="24" s="1"/>
  <c r="K19" i="13"/>
  <c r="H19" i="13"/>
  <c r="L19" i="13"/>
  <c r="L14" i="1"/>
  <c r="L23" i="1" s="1"/>
  <c r="L17" i="24" s="1"/>
  <c r="I19" i="13" l="1"/>
  <c r="J19" i="13"/>
  <c r="K26" i="13"/>
  <c r="L26" i="13"/>
  <c r="H26" i="13"/>
  <c r="I26" i="13"/>
  <c r="J26" i="13"/>
  <c r="I14" i="1"/>
  <c r="I23" i="1" s="1"/>
  <c r="I17" i="24" s="1"/>
  <c r="J14" i="1"/>
  <c r="J23" i="1" s="1"/>
  <c r="J17" i="24" s="1"/>
  <c r="F14" i="1"/>
  <c r="F23" i="1" s="1"/>
  <c r="F17" i="24" s="1"/>
  <c r="K14" i="1" l="1"/>
  <c r="K23" i="1" s="1"/>
  <c r="K17" i="24" s="1"/>
  <c r="H14" i="1"/>
  <c r="H23" i="1" s="1"/>
  <c r="H17" i="24" s="1"/>
  <c r="L16" i="1"/>
  <c r="H16" i="1" l="1"/>
  <c r="H17" i="1" s="1"/>
  <c r="K16" i="1"/>
  <c r="K17" i="1" s="1"/>
  <c r="I16" i="1"/>
  <c r="L17" i="1"/>
  <c r="J16" i="1"/>
  <c r="H18" i="1" l="1"/>
  <c r="F16" i="1"/>
  <c r="F17" i="1" s="1"/>
  <c r="K18" i="1"/>
  <c r="L18" i="1"/>
  <c r="I17" i="1"/>
  <c r="J17" i="1"/>
  <c r="D15" i="1"/>
  <c r="H4" i="13" l="1"/>
  <c r="H13" i="13" s="1"/>
  <c r="H29" i="13" s="1"/>
  <c r="H20" i="1"/>
  <c r="K4" i="13"/>
  <c r="K13" i="13" s="1"/>
  <c r="K29" i="13" s="1"/>
  <c r="K20" i="1"/>
  <c r="L4" i="13"/>
  <c r="L13" i="13" s="1"/>
  <c r="L29" i="13" s="1"/>
  <c r="L20" i="1"/>
  <c r="I18" i="1"/>
  <c r="J18" i="1"/>
  <c r="F18" i="1"/>
  <c r="F19" i="13" l="1"/>
  <c r="I4" i="13"/>
  <c r="I13" i="13" s="1"/>
  <c r="I29" i="13" s="1"/>
  <c r="I20" i="1"/>
  <c r="F20" i="1"/>
  <c r="F4" i="13"/>
  <c r="F13" i="13" s="1"/>
  <c r="J4" i="13"/>
  <c r="J13" i="13" s="1"/>
  <c r="J29" i="13" s="1"/>
  <c r="J20" i="1"/>
  <c r="G19" i="13" l="1"/>
  <c r="M19" i="13" l="1"/>
  <c r="E19" i="13"/>
  <c r="D19" i="13"/>
  <c r="D11" i="1" l="1"/>
  <c r="M14" i="1"/>
  <c r="M23" i="1" s="1"/>
  <c r="M17" i="24" s="1"/>
  <c r="E14" i="1"/>
  <c r="E23" i="1" s="1"/>
  <c r="E17" i="24" s="1"/>
  <c r="D14" i="1" l="1"/>
  <c r="D23" i="1" s="1"/>
  <c r="D17" i="24" s="1"/>
  <c r="D6" i="24"/>
  <c r="G26" i="13"/>
  <c r="G16" i="1" l="1"/>
  <c r="G17" i="1" l="1"/>
  <c r="G18" i="1" l="1"/>
  <c r="G20" i="1" s="1"/>
  <c r="G4" i="13" l="1"/>
  <c r="G13" i="13" s="1"/>
  <c r="G29" i="13" s="1"/>
  <c r="D16" i="1"/>
  <c r="D21" i="6"/>
  <c r="D24" i="6" s="1"/>
  <c r="D17" i="1" l="1"/>
  <c r="D26" i="13" l="1"/>
  <c r="D18" i="1"/>
  <c r="E16" i="1"/>
  <c r="M16" i="1"/>
  <c r="F26" i="13" l="1"/>
  <c r="F29" i="13" s="1"/>
  <c r="D4" i="13"/>
  <c r="D13" i="13" s="1"/>
  <c r="D29" i="13" s="1"/>
  <c r="D31" i="13" s="1"/>
  <c r="D20" i="1"/>
  <c r="D29" i="6" s="1"/>
  <c r="E26" i="13"/>
  <c r="E17" i="1"/>
  <c r="M17" i="1"/>
  <c r="D30" i="6" l="1"/>
  <c r="M26" i="13"/>
  <c r="M18" i="1"/>
  <c r="E18" i="1"/>
  <c r="D12" i="24" l="1"/>
  <c r="D7" i="24"/>
  <c r="M4" i="13"/>
  <c r="M13" i="13" s="1"/>
  <c r="M29" i="13" s="1"/>
  <c r="M20" i="1"/>
  <c r="E4" i="13"/>
  <c r="E13" i="13" s="1"/>
  <c r="E29" i="13" s="1"/>
  <c r="E20" i="1"/>
  <c r="E29" i="6" s="1"/>
  <c r="D31" i="6"/>
  <c r="D4" i="6" l="1"/>
  <c r="D7" i="6" s="1"/>
  <c r="D10" i="24" s="1"/>
  <c r="D13" i="24"/>
  <c r="F29" i="6"/>
  <c r="E30" i="6"/>
  <c r="D15" i="6" l="1"/>
  <c r="D18" i="24" s="1"/>
  <c r="D19" i="24" s="1"/>
  <c r="D20" i="24" s="1"/>
  <c r="D34" i="6"/>
  <c r="D25" i="1" s="1"/>
  <c r="D26" i="1" s="1"/>
  <c r="D27" i="1" s="1"/>
  <c r="E31" i="6"/>
  <c r="E12" i="24"/>
  <c r="E7" i="24"/>
  <c r="E8" i="24"/>
  <c r="G29" i="6"/>
  <c r="F30" i="6"/>
  <c r="E30" i="13"/>
  <c r="E31" i="13" s="1"/>
  <c r="F31" i="6" l="1"/>
  <c r="F12" i="24"/>
  <c r="F7" i="24"/>
  <c r="E4" i="6"/>
  <c r="E13" i="24"/>
  <c r="H29" i="6"/>
  <c r="G30" i="6"/>
  <c r="F30" i="13" l="1"/>
  <c r="F31" i="13" s="1"/>
  <c r="E7" i="6"/>
  <c r="G31" i="6"/>
  <c r="G12" i="24"/>
  <c r="G7" i="24"/>
  <c r="F4" i="6"/>
  <c r="F13" i="24"/>
  <c r="I29" i="6"/>
  <c r="H30" i="6"/>
  <c r="G4" i="6" l="1"/>
  <c r="G13" i="24"/>
  <c r="F32" i="13"/>
  <c r="G30" i="13"/>
  <c r="G31" i="13" s="1"/>
  <c r="F7" i="6"/>
  <c r="E15" i="6"/>
  <c r="E10" i="24"/>
  <c r="E34" i="6"/>
  <c r="H31" i="6"/>
  <c r="H12" i="24"/>
  <c r="H7" i="24"/>
  <c r="J29" i="6"/>
  <c r="I30" i="6"/>
  <c r="E25" i="1" l="1"/>
  <c r="E26" i="1" s="1"/>
  <c r="E27" i="1" s="1"/>
  <c r="I31" i="6"/>
  <c r="I12" i="24"/>
  <c r="I7" i="24"/>
  <c r="F34" i="6"/>
  <c r="F25" i="1" s="1"/>
  <c r="F26" i="1" s="1"/>
  <c r="F27" i="1" s="1"/>
  <c r="F10" i="24"/>
  <c r="F15" i="6"/>
  <c r="H4" i="6"/>
  <c r="H13" i="24"/>
  <c r="E32" i="6"/>
  <c r="E18" i="24"/>
  <c r="F8" i="24"/>
  <c r="H30" i="13"/>
  <c r="H31" i="13" s="1"/>
  <c r="G32" i="13"/>
  <c r="G7" i="6"/>
  <c r="K29" i="6"/>
  <c r="J30" i="6"/>
  <c r="F32" i="6" l="1"/>
  <c r="F18" i="24"/>
  <c r="G8" i="24"/>
  <c r="G15" i="6"/>
  <c r="G10" i="24"/>
  <c r="G34" i="6"/>
  <c r="H7" i="6"/>
  <c r="I30" i="13"/>
  <c r="I31" i="13" s="1"/>
  <c r="H32" i="13"/>
  <c r="J31" i="6"/>
  <c r="J12" i="24"/>
  <c r="J7" i="24"/>
  <c r="I4" i="6"/>
  <c r="I13" i="24"/>
  <c r="L29" i="6"/>
  <c r="K30" i="6"/>
  <c r="E19" i="24"/>
  <c r="F19" i="24" l="1"/>
  <c r="F20" i="24" s="1"/>
  <c r="E20" i="24"/>
  <c r="G25" i="1"/>
  <c r="G26" i="1" s="1"/>
  <c r="G27" i="1" s="1"/>
  <c r="G32" i="6"/>
  <c r="G18" i="24"/>
  <c r="H8" i="24"/>
  <c r="I7" i="6"/>
  <c r="J30" i="13"/>
  <c r="J31" i="13" s="1"/>
  <c r="I32" i="13"/>
  <c r="H34" i="6"/>
  <c r="H10" i="24"/>
  <c r="H15" i="6"/>
  <c r="K31" i="6"/>
  <c r="K12" i="24"/>
  <c r="K7" i="24"/>
  <c r="J4" i="6"/>
  <c r="J13" i="24"/>
  <c r="M29" i="6"/>
  <c r="M30" i="6" s="1"/>
  <c r="L30" i="6"/>
  <c r="M19" i="24"/>
  <c r="M20" i="24" s="1"/>
  <c r="I34" i="6" l="1"/>
  <c r="I10" i="24"/>
  <c r="I15" i="6"/>
  <c r="L31" i="6"/>
  <c r="L12" i="24"/>
  <c r="L7" i="24"/>
  <c r="M12" i="24"/>
  <c r="M7" i="24"/>
  <c r="K4" i="6"/>
  <c r="K13" i="24"/>
  <c r="K30" i="13"/>
  <c r="K31" i="13" s="1"/>
  <c r="J32" i="13"/>
  <c r="J7" i="6"/>
  <c r="H32" i="6"/>
  <c r="H18" i="24"/>
  <c r="I8" i="24"/>
  <c r="I25" i="1"/>
  <c r="I26" i="1" s="1"/>
  <c r="I27" i="1" s="1"/>
  <c r="H25" i="1"/>
  <c r="H26" i="1" s="1"/>
  <c r="H27" i="1" s="1"/>
  <c r="G19" i="24"/>
  <c r="G20" i="24" s="1"/>
  <c r="M31" i="6"/>
  <c r="M13" i="24" s="1"/>
  <c r="H19" i="24" l="1"/>
  <c r="H20" i="24" s="1"/>
  <c r="K7" i="6"/>
  <c r="L30" i="13"/>
  <c r="L31" i="13" s="1"/>
  <c r="K32" i="13"/>
  <c r="J34" i="6"/>
  <c r="J25" i="1" s="1"/>
  <c r="J26" i="1" s="1"/>
  <c r="J27" i="1" s="1"/>
  <c r="J10" i="24"/>
  <c r="J15" i="6"/>
  <c r="L4" i="6"/>
  <c r="L13" i="24"/>
  <c r="I32" i="6"/>
  <c r="I18" i="24"/>
  <c r="J8" i="24"/>
  <c r="M4" i="6"/>
  <c r="I19" i="24"/>
  <c r="I20" i="24" s="1"/>
  <c r="K34" i="6" l="1"/>
  <c r="K10" i="24"/>
  <c r="K15" i="6"/>
  <c r="J32" i="6"/>
  <c r="J18" i="24"/>
  <c r="K8" i="24"/>
  <c r="M30" i="13"/>
  <c r="M31" i="13" s="1"/>
  <c r="M32" i="13" s="1"/>
  <c r="L7" i="6"/>
  <c r="L32" i="13"/>
  <c r="M7" i="6"/>
  <c r="M10" i="24" s="1"/>
  <c r="J19" i="24"/>
  <c r="J20" i="24" s="1"/>
  <c r="K25" i="1" l="1"/>
  <c r="K26" i="1" s="1"/>
  <c r="K27" i="1" s="1"/>
  <c r="K32" i="6"/>
  <c r="L8" i="24"/>
  <c r="K18" i="24"/>
  <c r="L34" i="6"/>
  <c r="L25" i="1" s="1"/>
  <c r="L26" i="1" s="1"/>
  <c r="L27" i="1" s="1"/>
  <c r="L10" i="24"/>
  <c r="L15" i="6"/>
  <c r="M34" i="6"/>
  <c r="M15" i="6"/>
  <c r="M18" i="24" s="1"/>
  <c r="K19" i="24"/>
  <c r="K20" i="24" s="1"/>
  <c r="D32" i="6"/>
  <c r="L32" i="6" l="1"/>
  <c r="L18" i="24"/>
  <c r="M8" i="24"/>
  <c r="M32" i="6"/>
  <c r="M25" i="1"/>
  <c r="M26" i="1" s="1"/>
  <c r="M28" i="1" s="1"/>
  <c r="L19" i="24"/>
  <c r="L20" i="24" s="1"/>
  <c r="M27" i="1" l="1"/>
  <c r="D29" i="1" s="1"/>
  <c r="D32" i="13"/>
  <c r="E32" i="13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Scott Beber</author>
  </authors>
  <commentList>
    <comment ref="C31" authorId="0" shapeId="0" xr:uid="{A1A44361-4ED0-4853-B215-4917213E7986}">
      <text>
        <r>
          <rPr>
            <b/>
            <sz val="8"/>
            <color indexed="81"/>
            <rFont val="Tahoma"/>
            <family val="2"/>
          </rPr>
          <t xml:space="preserve">
</t>
        </r>
        <r>
          <rPr>
            <sz val="8"/>
            <color indexed="81"/>
            <rFont val="Tahoma"/>
            <family val="2"/>
          </rPr>
          <t>Check</t>
        </r>
        <r>
          <rPr>
            <b/>
            <sz val="8"/>
            <color indexed="81"/>
            <rFont val="Tahoma"/>
            <family val="2"/>
          </rPr>
          <t xml:space="preserve"> 
OPERATING MARGIN
</t>
        </r>
        <r>
          <rPr>
            <sz val="8"/>
            <color indexed="81"/>
            <rFont val="Tahoma"/>
            <family val="2"/>
          </rPr>
          <t>against</t>
        </r>
        <r>
          <rPr>
            <b/>
            <sz val="8"/>
            <color indexed="81"/>
            <rFont val="Tahoma"/>
            <family val="2"/>
          </rPr>
          <t xml:space="preserve">
EBITDA </t>
        </r>
        <r>
          <rPr>
            <sz val="8"/>
            <color indexed="81"/>
            <rFont val="Tahoma"/>
            <family val="2"/>
          </rPr>
          <t>on</t>
        </r>
        <r>
          <rPr>
            <b/>
            <sz val="8"/>
            <color indexed="81"/>
            <rFont val="Tahoma"/>
            <family val="2"/>
          </rPr>
          <t xml:space="preserve"> P&amp;L</t>
        </r>
        <r>
          <rPr>
            <sz val="8"/>
            <color indexed="81"/>
            <rFont val="Tahoma"/>
            <family val="2"/>
          </rPr>
          <t xml:space="preserve"> + </t>
        </r>
        <r>
          <rPr>
            <b/>
            <sz val="8"/>
            <color indexed="81"/>
            <rFont val="Tahoma"/>
            <family val="2"/>
          </rPr>
          <t>COGS</t>
        </r>
        <r>
          <rPr>
            <sz val="8"/>
            <color indexed="81"/>
            <rFont val="Tahoma"/>
            <family val="2"/>
          </rPr>
          <t xml:space="preserve"> on </t>
        </r>
        <r>
          <rPr>
            <b/>
            <sz val="8"/>
            <color indexed="81"/>
            <rFont val="Tahoma"/>
            <family val="2"/>
          </rPr>
          <t>P&amp;L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Scott Beber</author>
  </authors>
  <commentList>
    <comment ref="C15" authorId="0" shapeId="0" xr:uid="{00000000-0006-0000-0700-000004000000}">
      <text>
        <r>
          <rPr>
            <b/>
            <sz val="8"/>
            <color indexed="81"/>
            <rFont val="Tahoma"/>
            <family val="2"/>
          </rPr>
          <t xml:space="preserve">
</t>
        </r>
        <r>
          <rPr>
            <sz val="8"/>
            <color indexed="81"/>
            <rFont val="Tahoma"/>
            <family val="2"/>
          </rPr>
          <t>Check</t>
        </r>
        <r>
          <rPr>
            <b/>
            <sz val="8"/>
            <color indexed="81"/>
            <rFont val="Tahoma"/>
            <family val="2"/>
          </rPr>
          <t xml:space="preserve"> 
TOTAL INTEREST EXPENSE
</t>
        </r>
        <r>
          <rPr>
            <sz val="8"/>
            <color indexed="81"/>
            <rFont val="Tahoma"/>
            <family val="2"/>
          </rPr>
          <t>against</t>
        </r>
        <r>
          <rPr>
            <b/>
            <sz val="8"/>
            <color indexed="81"/>
            <rFont val="Tahoma"/>
            <family val="2"/>
          </rPr>
          <t xml:space="preserve">
Interest Expense / (Benefit) </t>
        </r>
        <r>
          <rPr>
            <sz val="8"/>
            <color indexed="81"/>
            <rFont val="Tahoma"/>
            <family val="2"/>
          </rPr>
          <t>on</t>
        </r>
        <r>
          <rPr>
            <b/>
            <sz val="8"/>
            <color indexed="81"/>
            <rFont val="Tahoma"/>
            <family val="2"/>
          </rPr>
          <t xml:space="preserve"> P&amp;L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Scott Beber</author>
  </authors>
  <commentList>
    <comment ref="C24" authorId="0" shapeId="0" xr:uid="{0ACC54A3-AD65-4548-B1A1-240851349E1A}">
      <text>
        <r>
          <rPr>
            <sz val="8"/>
            <color indexed="81"/>
            <rFont val="Tahoma"/>
            <family val="2"/>
          </rPr>
          <t xml:space="preserve">PP&amp;L </t>
        </r>
        <r>
          <rPr>
            <b/>
            <sz val="8"/>
            <color indexed="81"/>
            <rFont val="Tahoma"/>
            <family val="2"/>
          </rPr>
          <t>plus</t>
        </r>
        <r>
          <rPr>
            <sz val="8"/>
            <color indexed="81"/>
            <rFont val="Tahoma"/>
            <family val="2"/>
          </rPr>
          <t xml:space="preserve"> Proceeds from sale of equipment (if any)</t>
        </r>
      </text>
    </comment>
    <comment ref="C25" authorId="0" shapeId="0" xr:uid="{D74D1C2B-97A5-4195-A77A-E9BE88BE0402}">
      <text>
        <r>
          <rPr>
            <b/>
            <u/>
            <sz val="10"/>
            <color indexed="81"/>
            <rFont val="Times New Roman"/>
            <family val="1"/>
          </rPr>
          <t>Includes (</t>
        </r>
        <r>
          <rPr>
            <u/>
            <sz val="10"/>
            <color indexed="81"/>
            <rFont val="Times New Roman"/>
            <family val="1"/>
          </rPr>
          <t>from Balance Sheet</t>
        </r>
        <r>
          <rPr>
            <b/>
            <u/>
            <sz val="10"/>
            <color indexed="81"/>
            <rFont val="Times New Roman"/>
            <family val="1"/>
          </rPr>
          <t xml:space="preserve">):
</t>
        </r>
        <r>
          <rPr>
            <sz val="10"/>
            <color indexed="81"/>
            <rFont val="Times New Roman"/>
            <family val="1"/>
          </rPr>
          <t xml:space="preserve">(Δ) Cash &amp; Equivalents
(Δ) Accounts Receivable
(Δ) Inventory 
(Δ) Accounts Payable
(Δ) Short-term Debt
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Scott Beber</author>
  </authors>
  <commentList>
    <comment ref="C20" authorId="0" shapeId="0" xr:uid="{E7D11012-64EF-44CB-9F9F-5B656B27A6F1}">
      <text>
        <r>
          <rPr>
            <b/>
            <sz val="8"/>
            <color indexed="81"/>
            <rFont val="Tahoma"/>
            <family val="2"/>
          </rPr>
          <t>From Debt Schedule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C22" authorId="0" shapeId="0" xr:uid="{B82B3493-6A71-43D9-84BF-4965F55309EB}">
      <text>
        <r>
          <rPr>
            <b/>
            <sz val="8"/>
            <color indexed="81"/>
            <rFont val="Tahoma"/>
            <family val="2"/>
          </rPr>
          <t>From Debt Schedule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Scott Beber</author>
  </authors>
  <commentList>
    <comment ref="C4" authorId="0" shapeId="0" xr:uid="{4E8C4A1D-56DD-4872-BE1C-2D07AB29B1F9}">
      <text>
        <r>
          <rPr>
            <b/>
            <u/>
            <sz val="10"/>
            <color indexed="81"/>
            <rFont val="Times New Roman"/>
            <family val="1"/>
          </rPr>
          <t>Includes:</t>
        </r>
        <r>
          <rPr>
            <b/>
            <sz val="10"/>
            <color indexed="81"/>
            <rFont val="Times New Roman"/>
            <family val="1"/>
          </rPr>
          <t xml:space="preserve">
</t>
        </r>
        <r>
          <rPr>
            <sz val="10"/>
            <color indexed="81"/>
            <rFont val="Times New Roman"/>
            <family val="1"/>
          </rPr>
          <t>(+) Net Earnings (from P&amp;L)</t>
        </r>
      </text>
    </comment>
    <comment ref="C5" authorId="0" shapeId="0" xr:uid="{CFE304C9-AC77-4E19-BA82-152A2ECCAC2D}">
      <text>
        <r>
          <rPr>
            <b/>
            <u/>
            <sz val="10"/>
            <color indexed="81"/>
            <rFont val="Times New Roman"/>
            <family val="1"/>
          </rPr>
          <t>Includes:</t>
        </r>
        <r>
          <rPr>
            <b/>
            <sz val="10"/>
            <color indexed="81"/>
            <rFont val="Times New Roman"/>
            <family val="1"/>
          </rPr>
          <t xml:space="preserve">
</t>
        </r>
        <r>
          <rPr>
            <sz val="10"/>
            <color indexed="81"/>
            <rFont val="Times New Roman"/>
            <family val="1"/>
          </rPr>
          <t>(+) D&amp;A Expense (from P&amp;L)</t>
        </r>
      </text>
    </comment>
    <comment ref="C7" authorId="0" shapeId="0" xr:uid="{5EE70BF5-476B-4322-99FF-04121064B4FA}">
      <text>
        <r>
          <rPr>
            <b/>
            <u/>
            <sz val="10"/>
            <color indexed="81"/>
            <rFont val="Times New Roman"/>
            <family val="1"/>
          </rPr>
          <t xml:space="preserve">Includes:
</t>
        </r>
        <r>
          <rPr>
            <sz val="10"/>
            <color indexed="81"/>
            <rFont val="Times New Roman"/>
            <family val="1"/>
          </rPr>
          <t>(Δ) AR (from Balance Sheet)</t>
        </r>
      </text>
    </comment>
    <comment ref="C8" authorId="0" shapeId="0" xr:uid="{E1DD5DE2-5BD1-445D-9703-1AEC96460FD6}">
      <text>
        <r>
          <rPr>
            <b/>
            <u/>
            <sz val="10"/>
            <color indexed="81"/>
            <rFont val="Times New Roman"/>
            <family val="1"/>
          </rPr>
          <t xml:space="preserve">Includes:
</t>
        </r>
        <r>
          <rPr>
            <sz val="10"/>
            <color indexed="81"/>
            <rFont val="Times New Roman"/>
            <family val="1"/>
          </rPr>
          <t>(Δ) Inventories (from Balance Sheet)</t>
        </r>
      </text>
    </comment>
    <comment ref="C9" authorId="0" shapeId="0" xr:uid="{4359940B-7056-4502-B07F-622DDBAA395D}">
      <text>
        <r>
          <rPr>
            <b/>
            <u/>
            <sz val="10"/>
            <color indexed="81"/>
            <rFont val="Times New Roman"/>
            <family val="1"/>
          </rPr>
          <t xml:space="preserve">Includes:
</t>
        </r>
        <r>
          <rPr>
            <sz val="10"/>
            <color indexed="81"/>
            <rFont val="Times New Roman"/>
            <family val="1"/>
          </rPr>
          <t>(Δ) Other Assets (from Balance Sheet)</t>
        </r>
      </text>
    </comment>
    <comment ref="C11" authorId="0" shapeId="0" xr:uid="{29554BD7-71B1-403D-9869-09F2D6BDFC10}">
      <text>
        <r>
          <rPr>
            <b/>
            <u/>
            <sz val="10"/>
            <color indexed="81"/>
            <rFont val="Times New Roman"/>
            <family val="1"/>
          </rPr>
          <t>Includes:</t>
        </r>
        <r>
          <rPr>
            <b/>
            <sz val="10"/>
            <color indexed="81"/>
            <rFont val="Times New Roman"/>
            <family val="1"/>
          </rPr>
          <t xml:space="preserve">
</t>
        </r>
        <r>
          <rPr>
            <sz val="10"/>
            <color indexed="81"/>
            <rFont val="Times New Roman"/>
            <family val="1"/>
          </rPr>
          <t>(Δ) Accounts payable &amp; other accrued liabilities (from Balance Sheet)</t>
        </r>
      </text>
    </comment>
    <comment ref="C12" authorId="0" shapeId="0" xr:uid="{417C7161-474B-4DDE-B5D9-8AEE69B2DB69}">
      <text>
        <r>
          <rPr>
            <b/>
            <u/>
            <sz val="10"/>
            <color indexed="81"/>
            <rFont val="Times New Roman"/>
            <family val="1"/>
          </rPr>
          <t>Includes:</t>
        </r>
        <r>
          <rPr>
            <b/>
            <sz val="10"/>
            <color indexed="81"/>
            <rFont val="Times New Roman"/>
            <family val="1"/>
          </rPr>
          <t xml:space="preserve">
</t>
        </r>
        <r>
          <rPr>
            <sz val="10"/>
            <color indexed="81"/>
            <rFont val="Times New Roman"/>
            <family val="1"/>
          </rPr>
          <t>(Δ) Other Liabilities (from Balance Sheet)</t>
        </r>
      </text>
    </comment>
    <comment ref="C18" authorId="0" shapeId="0" xr:uid="{F6A77098-0661-4CBA-B923-053BBA5F0122}">
      <text>
        <r>
          <rPr>
            <b/>
            <sz val="10"/>
            <color indexed="81"/>
            <rFont val="Times New Roman"/>
            <family val="1"/>
          </rPr>
          <t xml:space="preserve">Includes:
</t>
        </r>
        <r>
          <rPr>
            <sz val="10"/>
            <color indexed="81"/>
            <rFont val="Times New Roman"/>
            <family val="1"/>
          </rPr>
          <t xml:space="preserve">(-) Equipment </t>
        </r>
      </text>
    </comment>
    <comment ref="C23" authorId="0" shapeId="0" xr:uid="{96848A38-B47F-4ADC-A9F9-7870F1B9E1ED}">
      <text>
        <r>
          <rPr>
            <b/>
            <sz val="10"/>
            <color indexed="81"/>
            <rFont val="Times New Roman"/>
            <family val="1"/>
          </rPr>
          <t xml:space="preserve">Includes:
</t>
        </r>
        <r>
          <rPr>
            <sz val="10"/>
            <color indexed="81"/>
            <rFont val="Times New Roman"/>
            <family val="1"/>
          </rPr>
          <t>(Δ) Revolving Notes (from Balance Sheet)</t>
        </r>
      </text>
    </comment>
    <comment ref="C24" authorId="0" shapeId="0" xr:uid="{1CBBF916-3D67-407A-92DC-3B0DF49DEDE8}">
      <text>
        <r>
          <rPr>
            <b/>
            <sz val="10"/>
            <color indexed="81"/>
            <rFont val="Times New Roman"/>
            <family val="1"/>
          </rPr>
          <t xml:space="preserve">Includes:
</t>
        </r>
        <r>
          <rPr>
            <sz val="10"/>
            <color indexed="81"/>
            <rFont val="Times New Roman"/>
            <family val="1"/>
          </rPr>
          <t>Preferred, Common, Additional Paid-in-Capital</t>
        </r>
      </text>
    </comment>
    <comment ref="C25" authorId="0" shapeId="0" xr:uid="{B3747151-10AC-4B62-B336-EDD7F20C9800}">
      <text>
        <r>
          <rPr>
            <b/>
            <sz val="10"/>
            <color indexed="81"/>
            <rFont val="Times New Roman"/>
            <family val="1"/>
          </rPr>
          <t>Dividends</t>
        </r>
        <r>
          <rPr>
            <sz val="10"/>
            <color indexed="81"/>
            <rFont val="Times New Roman"/>
            <family val="1"/>
          </rPr>
          <t xml:space="preserve"> from P&amp;L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Scott Beber</author>
  </authors>
  <commentList>
    <comment ref="C8" authorId="0" shapeId="0" xr:uid="{08A0AC0E-4E7F-4D42-A651-456C65D70945}">
      <text>
        <r>
          <rPr>
            <b/>
            <sz val="8"/>
            <color indexed="81"/>
            <rFont val="Tahoma"/>
            <family val="2"/>
          </rPr>
          <t xml:space="preserve">
Net Earnings / Prior period's Total Assets less (Current Liabilities + Cash)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C17" authorId="0" shapeId="0" xr:uid="{58EF9B8F-78BB-4E6E-B2A0-8F64AE9EA50D}">
      <text>
        <r>
          <rPr>
            <sz val="10"/>
            <color indexed="81"/>
            <rFont val="Tahoma"/>
            <family val="2"/>
          </rPr>
          <t xml:space="preserve">
EBIT * (1 - % tax rate)</t>
        </r>
      </text>
    </comment>
    <comment ref="C18" authorId="0" shapeId="0" xr:uid="{6F3C4077-B5F2-4EB9-A496-E66C70158566}">
      <text>
        <r>
          <rPr>
            <sz val="10"/>
            <color indexed="81"/>
            <rFont val="Tahoma"/>
            <family val="2"/>
          </rPr>
          <t xml:space="preserve">
Current Assets + Net Fixed Assets - (Current Liabilities - S/T Notes Payable)</t>
        </r>
      </text>
    </comment>
    <comment ref="C19" authorId="0" shapeId="0" xr:uid="{59D68380-BAAD-4EA4-9450-749FEB606661}">
      <text>
        <r>
          <rPr>
            <sz val="10"/>
            <color indexed="81"/>
            <rFont val="Tahoma"/>
            <family val="2"/>
          </rPr>
          <t xml:space="preserve">
Derived from WACC analysis on Comparables Valuation model.  Use after-tax WACC if available</t>
        </r>
      </text>
    </comment>
    <comment ref="C20" authorId="0" shapeId="0" xr:uid="{5D385729-C4A9-405A-9C94-6E466C37FA41}">
      <text>
        <r>
          <rPr>
            <sz val="10"/>
            <color indexed="81"/>
            <rFont val="Tahoma"/>
            <family val="2"/>
          </rPr>
          <t xml:space="preserve">
NOPAT - Dollar Cost of Capital</t>
        </r>
      </text>
    </comment>
  </commentList>
</comments>
</file>

<file path=xl/sharedStrings.xml><?xml version="1.0" encoding="utf-8"?>
<sst xmlns="http://schemas.openxmlformats.org/spreadsheetml/2006/main" count="189" uniqueCount="159">
  <si>
    <t>Revenue</t>
  </si>
  <si>
    <t>Gross margin $</t>
  </si>
  <si>
    <t>Gross margin %</t>
  </si>
  <si>
    <t>EBITDA</t>
  </si>
  <si>
    <t>EBIT</t>
  </si>
  <si>
    <t>NOPAT</t>
  </si>
  <si>
    <t>WACC</t>
  </si>
  <si>
    <t>Valuation</t>
  </si>
  <si>
    <t>ASSETS</t>
  </si>
  <si>
    <t>Inventory</t>
  </si>
  <si>
    <t>Net P&amp;E</t>
  </si>
  <si>
    <t>TOTAL ASSETS</t>
  </si>
  <si>
    <t>LIABILITIES</t>
  </si>
  <si>
    <t>TOTAL LIABILITIES</t>
  </si>
  <si>
    <t>EQUITY</t>
  </si>
  <si>
    <t>Preferred stock</t>
  </si>
  <si>
    <t>Common stock</t>
  </si>
  <si>
    <t>Additional paid-in capital</t>
  </si>
  <si>
    <t>Retained earnings</t>
  </si>
  <si>
    <t>TOTAL EQUITY</t>
  </si>
  <si>
    <t>TOTAL LIABILITIES + EQUITY</t>
  </si>
  <si>
    <t>OPERATING ACTIVITIES</t>
  </si>
  <si>
    <t>Net Earnings</t>
  </si>
  <si>
    <t>Change in Assets:</t>
  </si>
  <si>
    <t>Change in Liabilities</t>
  </si>
  <si>
    <t>NET CASH +/(-) OPERATING ACTIVITIES</t>
  </si>
  <si>
    <t>INVESTING ACTIVITIES</t>
  </si>
  <si>
    <t>NET CASH +/(-) INVESTING ACTIVITIES</t>
  </si>
  <si>
    <t>FINANCING ACTIVITIES</t>
  </si>
  <si>
    <t>Dividends</t>
  </si>
  <si>
    <t>NET CASH +/(-) FINANCING ACTIVITIES</t>
  </si>
  <si>
    <t>Cash &amp; Equivalents at Beginning of Period</t>
  </si>
  <si>
    <t>Interest Expense</t>
  </si>
  <si>
    <t>Net Working Capital</t>
  </si>
  <si>
    <t>Profitability Ratios</t>
  </si>
  <si>
    <t>Gross Margin</t>
  </si>
  <si>
    <t>EBITDA Margin</t>
  </si>
  <si>
    <t>Return on Equity (ROE)</t>
  </si>
  <si>
    <t>Leverage Ratios</t>
  </si>
  <si>
    <t>Current Ratio</t>
  </si>
  <si>
    <t>Debt / Equity</t>
  </si>
  <si>
    <t>Total operating capital</t>
  </si>
  <si>
    <t>Dollar cost of capital</t>
  </si>
  <si>
    <t>Economic profit</t>
  </si>
  <si>
    <t>TOTAL INTEREST EXPENSE</t>
  </si>
  <si>
    <t>Accounts Receivable</t>
  </si>
  <si>
    <t>Accounts Payable</t>
  </si>
  <si>
    <t>Other Liabilities</t>
  </si>
  <si>
    <t>Income Statement</t>
  </si>
  <si>
    <t>Balance Sheet</t>
  </si>
  <si>
    <t>Cash Flow Statement</t>
  </si>
  <si>
    <t>ü</t>
  </si>
  <si>
    <t>BS</t>
  </si>
  <si>
    <t>PL</t>
  </si>
  <si>
    <t>Key Performance Indicators</t>
  </si>
  <si>
    <t>FINANCIAL RATIOS</t>
  </si>
  <si>
    <t>Plowback</t>
  </si>
  <si>
    <t>Debt</t>
  </si>
  <si>
    <t>Free Cash Flow</t>
  </si>
  <si>
    <t>Pretax Earnings</t>
  </si>
  <si>
    <t>COGS</t>
  </si>
  <si>
    <t>(∆ Wkg Capital)</t>
  </si>
  <si>
    <t>Fixed Costs</t>
  </si>
  <si>
    <t>Breakeven</t>
  </si>
  <si>
    <t>Unit Price</t>
  </si>
  <si>
    <t>Overhead</t>
  </si>
  <si>
    <t>Income Tax</t>
  </si>
  <si>
    <t>Tour Fees</t>
  </si>
  <si>
    <t>Sponsors (net)</t>
  </si>
  <si>
    <t>Entries</t>
  </si>
  <si>
    <t>Merchandising (net)</t>
  </si>
  <si>
    <t>Tickets</t>
  </si>
  <si>
    <t xml:space="preserve">Ad Revenue </t>
  </si>
  <si>
    <t>Special Events</t>
  </si>
  <si>
    <t>Other Revenue</t>
  </si>
  <si>
    <t xml:space="preserve">EXPENSE </t>
  </si>
  <si>
    <t>Prize Money</t>
  </si>
  <si>
    <t>Online TV Production</t>
  </si>
  <si>
    <t>Boosting Social. Media/Clips</t>
  </si>
  <si>
    <t>Travel Expenses</t>
  </si>
  <si>
    <t>Market/Promo</t>
  </si>
  <si>
    <t>Staffing</t>
  </si>
  <si>
    <t>Admin/Oper</t>
  </si>
  <si>
    <t>Rent</t>
  </si>
  <si>
    <t xml:space="preserve">                      -  </t>
  </si>
  <si>
    <t xml:space="preserve">                    -  </t>
  </si>
  <si>
    <t>Sales</t>
  </si>
  <si>
    <t>ECONOMIC PROFIT</t>
  </si>
  <si>
    <r>
      <t>INCREASE/</t>
    </r>
    <r>
      <rPr>
        <sz val="11"/>
        <color rgb="FFFF0000"/>
        <rFont val="Calibri"/>
        <family val="2"/>
        <scheme val="minor"/>
      </rPr>
      <t>(DECR.)</t>
    </r>
    <r>
      <rPr>
        <sz val="11"/>
        <rFont val="Calibri"/>
        <family val="2"/>
        <scheme val="minor"/>
      </rPr>
      <t xml:space="preserve"> in Cash &amp; Equiv.</t>
    </r>
  </si>
  <si>
    <t>Cash &amp; Equivalents</t>
  </si>
  <si>
    <t>Other</t>
  </si>
  <si>
    <t xml:space="preserve">REVENUE
</t>
  </si>
  <si>
    <t>TOTAL REVENUE</t>
  </si>
  <si>
    <t>Equipment (cash)</t>
  </si>
  <si>
    <t>TOTAL EXPENSE</t>
  </si>
  <si>
    <t>Revenue &amp; Expense</t>
  </si>
  <si>
    <t>Current Assets</t>
  </si>
  <si>
    <t>Intangibles</t>
  </si>
  <si>
    <t>Net Intangibles</t>
  </si>
  <si>
    <t>Current Liabilities</t>
  </si>
  <si>
    <t>OPERATING MARGIN</t>
  </si>
  <si>
    <t>Accum. Depr.</t>
  </si>
  <si>
    <t>Amort. Expense</t>
  </si>
  <si>
    <t>Depr'n. Expense</t>
  </si>
  <si>
    <t>Property &amp; Equipment</t>
  </si>
  <si>
    <t>Accum. Amort.</t>
  </si>
  <si>
    <t>Other Assets</t>
  </si>
  <si>
    <t>SHORT-TERM DEBT</t>
  </si>
  <si>
    <t>LONG-TERM DEBT</t>
  </si>
  <si>
    <t>Revolver/LOC Balance</t>
  </si>
  <si>
    <t>Short-term Loan</t>
  </si>
  <si>
    <t>Term Loan</t>
  </si>
  <si>
    <r>
      <t>Interest Exp/</t>
    </r>
    <r>
      <rPr>
        <sz val="11"/>
        <color rgb="FFFF0000"/>
        <rFont val="Calibri"/>
        <family val="2"/>
        <scheme val="minor"/>
      </rPr>
      <t>(Inc)</t>
    </r>
  </si>
  <si>
    <t>Other L/T Debt</t>
  </si>
  <si>
    <t>Terminal Gr.%</t>
  </si>
  <si>
    <t>EVENTS</t>
  </si>
  <si>
    <t>Yes</t>
  </si>
  <si>
    <t>No</t>
  </si>
  <si>
    <r>
      <rPr>
        <b/>
        <sz val="11"/>
        <color rgb="FF003300"/>
        <rFont val="Calibri"/>
        <family val="2"/>
        <scheme val="minor"/>
      </rPr>
      <t>Fx</t>
    </r>
    <r>
      <rPr>
        <sz val="11"/>
        <color rgb="FF003300"/>
        <rFont val="Calibri"/>
        <family val="2"/>
        <scheme val="minor"/>
      </rPr>
      <t>(events)</t>
    </r>
  </si>
  <si>
    <t>Fx(events)</t>
  </si>
  <si>
    <t>Events</t>
  </si>
  <si>
    <t>Event-related</t>
  </si>
  <si>
    <t>Non-variable</t>
  </si>
  <si>
    <t>Total Revenue</t>
  </si>
  <si>
    <t>A = L+E</t>
  </si>
  <si>
    <t>Depreciation &amp; Amortization</t>
  </si>
  <si>
    <t>S/T Notes Payable</t>
  </si>
  <si>
    <t>L/T Debt</t>
  </si>
  <si>
    <t>S/T Notes &amp; Other Liabilities</t>
  </si>
  <si>
    <t>Intangible Assets</t>
  </si>
  <si>
    <t>Capital Expenditures</t>
  </si>
  <si>
    <t>(CapEx+Intang.)</t>
  </si>
  <si>
    <t>Change in L/T Debt</t>
  </si>
  <si>
    <t>Change in Stock</t>
  </si>
  <si>
    <t>(Cash Dividends)</t>
  </si>
  <si>
    <t>Cash &amp; Equivalents at End of Period</t>
  </si>
  <si>
    <t>Fixed Sales</t>
  </si>
  <si>
    <t>Cost</t>
  </si>
  <si>
    <t>Unit Cost</t>
  </si>
  <si>
    <t>$Add'l EventRev</t>
  </si>
  <si>
    <t>#Add'l Events</t>
  </si>
  <si>
    <t>Event B/E*</t>
  </si>
  <si>
    <t>*To cover Total Fixed</t>
  </si>
  <si>
    <t>Overall B/E*</t>
  </si>
  <si>
    <t>Debt / Total Cap.</t>
  </si>
  <si>
    <t>Ret. Invest'd Cap. (ROIC)</t>
  </si>
  <si>
    <t>Liquidity Ratio</t>
  </si>
  <si>
    <t>Variable</t>
  </si>
  <si>
    <t xml:space="preserve">  B/E.∑* = (F-R)/(P-V)</t>
  </si>
  <si>
    <t xml:space="preserve">  B/E.Q* = F/(P-V)</t>
  </si>
  <si>
    <t xml:space="preserve">  Q-Events</t>
  </si>
  <si>
    <t xml:space="preserve">  P-Event Rev</t>
  </si>
  <si>
    <t xml:space="preserve">  V-Event Cost</t>
  </si>
  <si>
    <t xml:space="preserve">  R-Fixed Rev</t>
  </si>
  <si>
    <t xml:space="preserve">  F-Fixed Cost</t>
  </si>
  <si>
    <t xml:space="preserve">   *to cover All of F</t>
  </si>
  <si>
    <t>BREAKEVEN ANALYSIS</t>
  </si>
  <si>
    <r>
      <rPr>
        <b/>
        <sz val="9"/>
        <rFont val="Calibri"/>
        <family val="2"/>
        <scheme val="minor"/>
      </rPr>
      <t xml:space="preserve">  |  </t>
    </r>
    <r>
      <rPr>
        <sz val="9"/>
        <rFont val="Calibri"/>
        <family val="2"/>
        <scheme val="minor"/>
      </rPr>
      <t>EBIT=Q*(P-V)-F</t>
    </r>
  </si>
  <si>
    <r>
      <rPr>
        <b/>
        <sz val="9"/>
        <rFont val="Calibri"/>
        <family val="1"/>
        <charset val="2"/>
        <scheme val="minor"/>
      </rPr>
      <t xml:space="preserve"> </t>
    </r>
    <r>
      <rPr>
        <b/>
        <sz val="9"/>
        <rFont val="Symbol"/>
        <family val="1"/>
        <charset val="2"/>
      </rPr>
      <t xml:space="preserve">\ </t>
    </r>
    <r>
      <rPr>
        <sz val="9"/>
        <rFont val="Calibri"/>
        <family val="2"/>
        <scheme val="minor"/>
      </rPr>
      <t>B/E if EBIT=0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</si>
</sst>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$&quot;#,##0_);[Red]\(&quot;$&quot;#,##0\)"/>
    <numFmt numFmtId="164" formatCode="0.0%"/>
    <numFmt numFmtId="165" formatCode="0.0%;[Red]\(\-0.0%\)"/>
    <numFmt numFmtId="166" formatCode="#,##0.0_);[Red]\(#,##0.0\)"/>
  </numFmts>
  <fonts count="64"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66"/>
      <name val="Calibri"/>
      <family val="2"/>
      <scheme val="minor"/>
    </font>
    <font>
      <sz val="5"/>
      <name val="Small Fonts"/>
      <family val="2"/>
    </font>
    <font>
      <sz val="11"/>
      <name val="Calibri"/>
      <family val="2"/>
      <scheme val="minor"/>
    </font>
    <font>
      <u/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000066"/>
      <name val="Calibri"/>
      <family val="2"/>
      <scheme val="minor"/>
    </font>
    <font>
      <sz val="5"/>
      <color theme="1"/>
      <name val="Small Fonts"/>
      <family val="2"/>
    </font>
    <font>
      <b/>
      <sz val="11"/>
      <color theme="5" tint="-0.499984740745262"/>
      <name val="Calibri"/>
      <family val="2"/>
      <scheme val="minor"/>
    </font>
    <font>
      <sz val="11"/>
      <color rgb="FF0000FF"/>
      <name val="Calibri"/>
      <family val="2"/>
      <scheme val="minor"/>
    </font>
    <font>
      <sz val="11"/>
      <color theme="5" tint="-0.499984740745262"/>
      <name val="Calibri"/>
      <family val="2"/>
      <scheme val="minor"/>
    </font>
    <font>
      <b/>
      <sz val="11"/>
      <color rgb="FF003300"/>
      <name val="Calibri"/>
      <family val="2"/>
      <scheme val="minor"/>
    </font>
    <font>
      <sz val="11"/>
      <color rgb="FF003300"/>
      <name val="Calibri"/>
      <family val="2"/>
      <scheme val="minor"/>
    </font>
    <font>
      <u/>
      <sz val="11"/>
      <color rgb="FF003300"/>
      <name val="Calibri"/>
      <family val="2"/>
      <scheme val="minor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5"/>
      <color rgb="FF000066"/>
      <name val="Small Fonts"/>
      <family val="2"/>
    </font>
    <font>
      <u/>
      <sz val="11"/>
      <color rgb="FF000066"/>
      <name val="Calibri"/>
      <family val="2"/>
      <scheme val="minor"/>
    </font>
    <font>
      <b/>
      <sz val="11"/>
      <color rgb="FF800000"/>
      <name val="Calibri"/>
      <family val="2"/>
      <scheme val="minor"/>
    </font>
    <font>
      <sz val="11"/>
      <color rgb="FF800000"/>
      <name val="Calibri"/>
      <family val="2"/>
      <scheme val="minor"/>
    </font>
    <font>
      <b/>
      <u/>
      <sz val="10"/>
      <color indexed="81"/>
      <name val="Times New Roman"/>
      <family val="1"/>
    </font>
    <font>
      <b/>
      <sz val="10"/>
      <color indexed="81"/>
      <name val="Times New Roman"/>
      <family val="1"/>
    </font>
    <font>
      <sz val="10"/>
      <color indexed="81"/>
      <name val="Times New Roman"/>
      <family val="1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1"/>
      <name val="Tahoma"/>
      <family val="2"/>
    </font>
    <font>
      <sz val="11"/>
      <color theme="0" tint="-0.499984740745262"/>
      <name val="Times New Roman"/>
      <family val="1"/>
    </font>
    <font>
      <sz val="6.5"/>
      <name val="Small Fonts"/>
      <family val="2"/>
    </font>
    <font>
      <sz val="6.5"/>
      <color theme="1"/>
      <name val="Small Fonts"/>
      <family val="2"/>
    </font>
    <font>
      <sz val="6.5"/>
      <color theme="1"/>
      <name val="Calibri"/>
      <family val="2"/>
      <scheme val="minor"/>
    </font>
    <font>
      <b/>
      <sz val="5"/>
      <name val="Small Fonts"/>
      <family val="2"/>
    </font>
    <font>
      <u/>
      <sz val="5"/>
      <name val="Small Fonts"/>
      <family val="2"/>
    </font>
    <font>
      <sz val="7"/>
      <name val="Small Fonts"/>
      <family val="2"/>
    </font>
    <font>
      <sz val="7"/>
      <color rgb="FF000066"/>
      <name val="Calibri"/>
      <family val="2"/>
      <scheme val="minor"/>
    </font>
    <font>
      <sz val="7"/>
      <color rgb="FF003300"/>
      <name val="Small Fonts"/>
      <family val="2"/>
    </font>
    <font>
      <b/>
      <u/>
      <sz val="11"/>
      <color rgb="FF000066"/>
      <name val="Calibri"/>
      <family val="2"/>
      <scheme val="minor"/>
    </font>
    <font>
      <u/>
      <sz val="11"/>
      <color rgb="FFFF0000"/>
      <name val="Calibri"/>
      <family val="2"/>
      <scheme val="minor"/>
    </font>
    <font>
      <u/>
      <sz val="11"/>
      <color rgb="FF3F3F76"/>
      <name val="Calibri"/>
      <family val="2"/>
      <scheme val="minor"/>
    </font>
    <font>
      <sz val="10"/>
      <name val="Arial"/>
      <family val="2"/>
    </font>
    <font>
      <sz val="10"/>
      <name val="Wingdings"/>
      <charset val="2"/>
    </font>
    <font>
      <sz val="6"/>
      <color theme="1"/>
      <name val="Small Fonts"/>
      <family val="2"/>
    </font>
    <font>
      <b/>
      <sz val="12"/>
      <color rgb="FF000066"/>
      <name val="Calibri"/>
      <family val="2"/>
      <scheme val="minor"/>
    </font>
    <font>
      <sz val="10"/>
      <name val="Verdana"/>
      <family val="2"/>
    </font>
    <font>
      <b/>
      <i/>
      <sz val="11"/>
      <color rgb="FF000066"/>
      <name val="Calibri"/>
      <family val="2"/>
      <scheme val="minor"/>
    </font>
    <font>
      <u/>
      <sz val="9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u/>
      <sz val="11"/>
      <color theme="5" tint="-0.499984740745262"/>
      <name val="Calibri"/>
      <family val="2"/>
      <scheme val="minor"/>
    </font>
    <font>
      <u/>
      <sz val="5"/>
      <color rgb="FF000066"/>
      <name val="Small Fonts"/>
      <family val="2"/>
    </font>
    <font>
      <b/>
      <sz val="5"/>
      <color rgb="FF000066"/>
      <name val="Small Fonts"/>
      <family val="2"/>
    </font>
    <font>
      <sz val="5"/>
      <color theme="5" tint="-0.499984740745262"/>
      <name val="Small Fonts"/>
      <family val="2"/>
    </font>
    <font>
      <u/>
      <sz val="5"/>
      <color theme="5" tint="-0.499984740745262"/>
      <name val="Small Fonts"/>
      <family val="2"/>
    </font>
    <font>
      <b/>
      <sz val="5"/>
      <color theme="5" tint="-0.499984740745262"/>
      <name val="Small Fonts"/>
      <family val="2"/>
    </font>
    <font>
      <sz val="5"/>
      <color rgb="FF003300"/>
      <name val="Small Fonts"/>
      <family val="2"/>
    </font>
    <font>
      <u/>
      <sz val="10"/>
      <color indexed="81"/>
      <name val="Times New Roman"/>
      <family val="1"/>
    </font>
    <font>
      <sz val="8"/>
      <color rgb="FF003300"/>
      <name val="Calibri"/>
      <family val="2"/>
      <scheme val="minor"/>
    </font>
    <font>
      <u/>
      <sz val="5"/>
      <color rgb="FF003300"/>
      <name val="Small Fonts"/>
      <family val="2"/>
    </font>
    <font>
      <b/>
      <sz val="5"/>
      <color rgb="FF003300"/>
      <name val="Small Fonts"/>
      <family val="2"/>
    </font>
    <font>
      <sz val="9"/>
      <name val="Calibri"/>
      <family val="1"/>
      <charset val="2"/>
      <scheme val="minor"/>
    </font>
    <font>
      <b/>
      <sz val="9"/>
      <name val="Symbol"/>
      <family val="1"/>
      <charset val="2"/>
    </font>
    <font>
      <i/>
      <sz val="11"/>
      <name val="Calibri"/>
      <family val="2"/>
      <scheme val="minor"/>
    </font>
    <font>
      <b/>
      <sz val="9"/>
      <name val="Calibri"/>
      <family val="1"/>
      <charset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39997558519241921"/>
        <bgColor indexed="65"/>
      </patternFill>
    </fill>
    <fill>
      <patternFill patternType="solid">
        <fgColor rgb="FF92D050"/>
        <bgColor indexed="64"/>
      </patternFill>
    </fill>
  </fills>
  <borders count="24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rgb="FFC00000"/>
      </bottom>
      <diagonal/>
    </border>
    <border>
      <left style="medium">
        <color rgb="FF000066"/>
      </left>
      <right style="medium">
        <color rgb="FF000066"/>
      </right>
      <top style="medium">
        <color rgb="FF000066"/>
      </top>
      <bottom style="medium">
        <color rgb="FF00006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7F7F7F"/>
      </left>
      <right style="thin">
        <color rgb="FF7F7F7F"/>
      </right>
      <top/>
      <bottom style="thin">
        <color rgb="FF7F7F7F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/>
      <diagonal/>
    </border>
    <border>
      <left style="thin">
        <color indexed="64"/>
      </left>
      <right style="dashed">
        <color indexed="64"/>
      </right>
      <top/>
      <bottom/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/>
      <bottom style="hair">
        <color indexed="64"/>
      </bottom>
      <diagonal/>
    </border>
  </borders>
  <cellStyleXfs count="6">
    <xf numFmtId="0" fontId="0" fillId="0" borderId="0"/>
    <xf numFmtId="0" fontId="1" fillId="2" borderId="1" applyNumberFormat="0" applyAlignment="0" applyProtection="0"/>
    <xf numFmtId="9" fontId="26" fillId="0" borderId="0" applyFont="0" applyFill="0" applyBorder="0" applyAlignment="0" applyProtection="0"/>
    <xf numFmtId="0" fontId="40" fillId="0" borderId="0"/>
    <xf numFmtId="0" fontId="26" fillId="5" borderId="0" applyNumberFormat="0" applyBorder="0" applyAlignment="0" applyProtection="0"/>
    <xf numFmtId="0" fontId="44" fillId="0" borderId="0"/>
  </cellStyleXfs>
  <cellXfs count="227">
    <xf numFmtId="0" fontId="0" fillId="0" borderId="0" xfId="0"/>
    <xf numFmtId="0" fontId="3" fillId="0" borderId="0" xfId="0" applyFont="1"/>
    <xf numFmtId="0" fontId="4" fillId="0" borderId="0" xfId="0" applyFont="1" applyFill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5" fillId="0" borderId="0" xfId="0" applyFont="1"/>
    <xf numFmtId="38" fontId="4" fillId="0" borderId="0" xfId="0" applyNumberFormat="1" applyFont="1" applyFill="1" applyAlignment="1">
      <alignment horizontal="center"/>
    </xf>
    <xf numFmtId="0" fontId="5" fillId="0" borderId="0" xfId="0" applyFont="1" applyFill="1"/>
    <xf numFmtId="38" fontId="5" fillId="0" borderId="0" xfId="0" applyNumberFormat="1" applyFont="1" applyFill="1"/>
    <xf numFmtId="164" fontId="5" fillId="0" borderId="0" xfId="0" applyNumberFormat="1" applyFont="1" applyFill="1"/>
    <xf numFmtId="0" fontId="6" fillId="0" borderId="0" xfId="0" applyFont="1"/>
    <xf numFmtId="0" fontId="7" fillId="0" borderId="0" xfId="0" applyFont="1"/>
    <xf numFmtId="0" fontId="5" fillId="0" borderId="0" xfId="0" applyFont="1" applyAlignment="1"/>
    <xf numFmtId="38" fontId="5" fillId="0" borderId="0" xfId="0" applyNumberFormat="1" applyFont="1"/>
    <xf numFmtId="0" fontId="2" fillId="0" borderId="0" xfId="0" applyFont="1"/>
    <xf numFmtId="0" fontId="8" fillId="0" borderId="0" xfId="0" applyFont="1"/>
    <xf numFmtId="0" fontId="10" fillId="0" borderId="0" xfId="0" applyFont="1"/>
    <xf numFmtId="0" fontId="11" fillId="0" borderId="0" xfId="0" applyFont="1"/>
    <xf numFmtId="0" fontId="0" fillId="0" borderId="0" xfId="0" applyFill="1"/>
    <xf numFmtId="38" fontId="0" fillId="0" borderId="0" xfId="0" applyNumberFormat="1" applyFill="1"/>
    <xf numFmtId="0" fontId="12" fillId="0" borderId="0" xfId="0" applyFont="1"/>
    <xf numFmtId="0" fontId="10" fillId="0" borderId="0" xfId="0" applyFont="1" applyBorder="1" applyAlignment="1">
      <alignment horizontal="center"/>
    </xf>
    <xf numFmtId="0" fontId="10" fillId="0" borderId="0" xfId="0" applyFont="1" applyFill="1"/>
    <xf numFmtId="0" fontId="13" fillId="0" borderId="0" xfId="0" applyFont="1"/>
    <xf numFmtId="0" fontId="14" fillId="0" borderId="0" xfId="0" applyFont="1"/>
    <xf numFmtId="0" fontId="13" fillId="0" borderId="0" xfId="0" applyFont="1" applyBorder="1" applyAlignment="1">
      <alignment horizontal="center"/>
    </xf>
    <xf numFmtId="0" fontId="13" fillId="0" borderId="0" xfId="0" applyFont="1" applyFill="1"/>
    <xf numFmtId="0" fontId="7" fillId="0" borderId="0" xfId="0" applyFont="1" applyFill="1"/>
    <xf numFmtId="0" fontId="18" fillId="0" borderId="0" xfId="0" applyFont="1" applyFill="1" applyAlignment="1">
      <alignment horizontal="center"/>
    </xf>
    <xf numFmtId="0" fontId="3" fillId="0" borderId="0" xfId="0" applyFont="1" applyBorder="1" applyAlignment="1">
      <alignment horizontal="center"/>
    </xf>
    <xf numFmtId="0" fontId="8" fillId="0" borderId="0" xfId="0" applyFont="1" applyFill="1"/>
    <xf numFmtId="0" fontId="19" fillId="0" borderId="0" xfId="0" applyFont="1"/>
    <xf numFmtId="0" fontId="3" fillId="0" borderId="0" xfId="0" applyFont="1" applyFill="1"/>
    <xf numFmtId="0" fontId="20" fillId="0" borderId="0" xfId="0" applyFont="1"/>
    <xf numFmtId="0" fontId="21" fillId="0" borderId="0" xfId="0" applyFont="1"/>
    <xf numFmtId="0" fontId="20" fillId="0" borderId="0" xfId="0" applyFont="1" applyFill="1"/>
    <xf numFmtId="38" fontId="8" fillId="0" borderId="0" xfId="0" applyNumberFormat="1" applyFont="1"/>
    <xf numFmtId="38" fontId="5" fillId="0" borderId="0" xfId="1" applyNumberFormat="1" applyFont="1" applyFill="1" applyBorder="1"/>
    <xf numFmtId="0" fontId="8" fillId="0" borderId="0" xfId="0" applyFont="1" applyAlignment="1">
      <alignment horizontal="left" indent="1"/>
    </xf>
    <xf numFmtId="0" fontId="19" fillId="0" borderId="0" xfId="0" applyFont="1" applyAlignment="1">
      <alignment horizontal="left" indent="1"/>
    </xf>
    <xf numFmtId="0" fontId="18" fillId="0" borderId="0" xfId="0" applyFont="1" applyFill="1" applyBorder="1" applyAlignment="1">
      <alignment horizontal="center"/>
    </xf>
    <xf numFmtId="0" fontId="5" fillId="0" borderId="5" xfId="0" applyFont="1" applyBorder="1"/>
    <xf numFmtId="0" fontId="4" fillId="0" borderId="5" xfId="0" applyFont="1" applyFill="1" applyBorder="1" applyAlignment="1">
      <alignment horizontal="center"/>
    </xf>
    <xf numFmtId="0" fontId="7" fillId="0" borderId="5" xfId="0" applyFont="1" applyBorder="1"/>
    <xf numFmtId="0" fontId="28" fillId="0" borderId="0" xfId="0" applyFont="1"/>
    <xf numFmtId="38" fontId="29" fillId="0" borderId="2" xfId="1" applyNumberFormat="1" applyFont="1" applyFill="1" applyBorder="1" applyAlignment="1">
      <alignment horizontal="center"/>
    </xf>
    <xf numFmtId="0" fontId="30" fillId="0" borderId="0" xfId="0" applyFont="1" applyFill="1" applyBorder="1" applyAlignment="1"/>
    <xf numFmtId="0" fontId="31" fillId="0" borderId="0" xfId="0" applyFont="1" applyFill="1"/>
    <xf numFmtId="0" fontId="0" fillId="0" borderId="0" xfId="0" applyFont="1"/>
    <xf numFmtId="38" fontId="9" fillId="0" borderId="0" xfId="0" applyNumberFormat="1" applyFont="1" applyFill="1" applyAlignment="1">
      <alignment horizontal="center"/>
    </xf>
    <xf numFmtId="38" fontId="1" fillId="2" borderId="1" xfId="1" applyNumberFormat="1" applyFont="1"/>
    <xf numFmtId="9" fontId="1" fillId="2" borderId="1" xfId="1" applyNumberFormat="1" applyAlignment="1">
      <alignment horizontal="center"/>
    </xf>
    <xf numFmtId="38" fontId="18" fillId="0" borderId="0" xfId="1" applyNumberFormat="1" applyFont="1" applyFill="1" applyBorder="1" applyAlignment="1">
      <alignment horizontal="center"/>
    </xf>
    <xf numFmtId="38" fontId="8" fillId="0" borderId="0" xfId="1" applyNumberFormat="1" applyFont="1" applyFill="1" applyBorder="1"/>
    <xf numFmtId="38" fontId="3" fillId="0" borderId="0" xfId="1" applyNumberFormat="1" applyFont="1" applyFill="1" applyBorder="1"/>
    <xf numFmtId="38" fontId="12" fillId="0" borderId="0" xfId="1" applyNumberFormat="1" applyFont="1" applyFill="1" applyBorder="1"/>
    <xf numFmtId="0" fontId="32" fillId="0" borderId="0" xfId="0" applyFont="1" applyFill="1" applyAlignment="1">
      <alignment horizontal="center"/>
    </xf>
    <xf numFmtId="38" fontId="10" fillId="0" borderId="0" xfId="0" applyNumberFormat="1" applyFont="1" applyFill="1" applyBorder="1"/>
    <xf numFmtId="0" fontId="2" fillId="0" borderId="0" xfId="0" applyFont="1" applyFill="1" applyBorder="1"/>
    <xf numFmtId="38" fontId="14" fillId="0" borderId="0" xfId="1" applyNumberFormat="1" applyFont="1" applyFill="1" applyBorder="1"/>
    <xf numFmtId="38" fontId="13" fillId="0" borderId="0" xfId="1" applyNumberFormat="1" applyFont="1" applyFill="1" applyBorder="1"/>
    <xf numFmtId="38" fontId="7" fillId="0" borderId="0" xfId="1" applyNumberFormat="1" applyFont="1" applyFill="1" applyBorder="1"/>
    <xf numFmtId="0" fontId="20" fillId="0" borderId="0" xfId="0" applyFont="1" applyFill="1" applyBorder="1" applyAlignment="1">
      <alignment horizontal="center"/>
    </xf>
    <xf numFmtId="0" fontId="13" fillId="0" borderId="0" xfId="0" applyFont="1" applyFill="1" applyBorder="1" applyAlignment="1">
      <alignment horizontal="center"/>
    </xf>
    <xf numFmtId="38" fontId="8" fillId="0" borderId="0" xfId="0" applyNumberFormat="1" applyFont="1" applyFill="1" applyBorder="1"/>
    <xf numFmtId="38" fontId="21" fillId="0" borderId="0" xfId="1" applyNumberFormat="1" applyFont="1" applyFill="1" applyBorder="1"/>
    <xf numFmtId="38" fontId="20" fillId="0" borderId="0" xfId="1" applyNumberFormat="1" applyFont="1" applyFill="1" applyBorder="1"/>
    <xf numFmtId="0" fontId="8" fillId="0" borderId="3" xfId="0" applyFont="1" applyBorder="1"/>
    <xf numFmtId="38" fontId="8" fillId="0" borderId="3" xfId="1" applyNumberFormat="1" applyFont="1" applyFill="1" applyBorder="1"/>
    <xf numFmtId="0" fontId="21" fillId="0" borderId="3" xfId="0" applyFont="1" applyBorder="1"/>
    <xf numFmtId="38" fontId="21" fillId="0" borderId="3" xfId="1" applyNumberFormat="1" applyFont="1" applyFill="1" applyBorder="1"/>
    <xf numFmtId="0" fontId="14" fillId="0" borderId="3" xfId="0" applyFont="1" applyBorder="1"/>
    <xf numFmtId="38" fontId="14" fillId="0" borderId="3" xfId="1" applyNumberFormat="1" applyFont="1" applyFill="1" applyBorder="1"/>
    <xf numFmtId="0" fontId="34" fillId="0" borderId="0" xfId="0" applyFont="1" applyFill="1" applyBorder="1" applyAlignment="1"/>
    <xf numFmtId="0" fontId="34" fillId="0" borderId="0" xfId="0" applyFont="1" applyFill="1"/>
    <xf numFmtId="0" fontId="35" fillId="0" borderId="0" xfId="0" applyFont="1"/>
    <xf numFmtId="38" fontId="34" fillId="0" borderId="4" xfId="1" applyNumberFormat="1" applyFont="1" applyFill="1" applyBorder="1" applyAlignment="1">
      <alignment horizontal="center"/>
    </xf>
    <xf numFmtId="165" fontId="5" fillId="0" borderId="0" xfId="1" applyNumberFormat="1" applyFont="1" applyFill="1" applyBorder="1"/>
    <xf numFmtId="38" fontId="6" fillId="0" borderId="0" xfId="1" applyNumberFormat="1" applyFont="1" applyFill="1" applyBorder="1"/>
    <xf numFmtId="38" fontId="32" fillId="0" borderId="0" xfId="0" applyNumberFormat="1" applyFont="1" applyFill="1" applyAlignment="1">
      <alignment horizontal="center"/>
    </xf>
    <xf numFmtId="38" fontId="33" fillId="0" borderId="0" xfId="0" applyNumberFormat="1" applyFont="1" applyFill="1" applyAlignment="1">
      <alignment horizontal="center"/>
    </xf>
    <xf numFmtId="38" fontId="7" fillId="0" borderId="0" xfId="0" applyNumberFormat="1" applyFont="1" applyFill="1" applyBorder="1"/>
    <xf numFmtId="0" fontId="32" fillId="0" borderId="0" xfId="0" applyFont="1" applyFill="1" applyBorder="1" applyAlignment="1">
      <alignment horizontal="center"/>
    </xf>
    <xf numFmtId="164" fontId="1" fillId="2" borderId="1" xfId="1" applyNumberFormat="1" applyAlignment="1">
      <alignment horizontal="center"/>
    </xf>
    <xf numFmtId="38" fontId="39" fillId="2" borderId="1" xfId="1" applyNumberFormat="1" applyFont="1"/>
    <xf numFmtId="0" fontId="25" fillId="0" borderId="0" xfId="0" applyFont="1"/>
    <xf numFmtId="0" fontId="38" fillId="0" borderId="0" xfId="0" applyFont="1"/>
    <xf numFmtId="38" fontId="1" fillId="2" borderId="1" xfId="1" applyNumberFormat="1"/>
    <xf numFmtId="0" fontId="41" fillId="0" borderId="0" xfId="0" applyFont="1" applyFill="1" applyBorder="1" applyAlignment="1">
      <alignment horizontal="center"/>
    </xf>
    <xf numFmtId="0" fontId="14" fillId="0" borderId="0" xfId="0" applyFont="1" applyFill="1"/>
    <xf numFmtId="38" fontId="14" fillId="0" borderId="0" xfId="0" applyNumberFormat="1" applyFont="1" applyFill="1"/>
    <xf numFmtId="38" fontId="8" fillId="0" borderId="0" xfId="0" applyNumberFormat="1" applyFont="1" applyFill="1"/>
    <xf numFmtId="38" fontId="7" fillId="0" borderId="0" xfId="0" applyNumberFormat="1" applyFont="1" applyFill="1"/>
    <xf numFmtId="38" fontId="42" fillId="0" borderId="0" xfId="0" applyNumberFormat="1" applyFont="1" applyFill="1" applyAlignment="1">
      <alignment horizontal="center"/>
    </xf>
    <xf numFmtId="0" fontId="43" fillId="0" borderId="0" xfId="0" applyFont="1"/>
    <xf numFmtId="1" fontId="8" fillId="5" borderId="6" xfId="4" applyNumberFormat="1" applyFont="1" applyBorder="1" applyAlignment="1">
      <alignment horizontal="center"/>
    </xf>
    <xf numFmtId="0" fontId="7" fillId="0" borderId="0" xfId="5" applyFont="1" applyAlignment="1"/>
    <xf numFmtId="0" fontId="5" fillId="0" borderId="0" xfId="5" applyFont="1" applyAlignment="1"/>
    <xf numFmtId="0" fontId="6" fillId="0" borderId="0" xfId="5" applyFont="1" applyAlignment="1"/>
    <xf numFmtId="1" fontId="5" fillId="0" borderId="0" xfId="5" applyNumberFormat="1" applyFont="1" applyAlignment="1">
      <alignment horizontal="center"/>
    </xf>
    <xf numFmtId="0" fontId="45" fillId="0" borderId="0" xfId="5" applyFont="1" applyAlignment="1"/>
    <xf numFmtId="0" fontId="46" fillId="6" borderId="8" xfId="5" applyFont="1" applyFill="1" applyBorder="1" applyAlignment="1">
      <alignment vertical="center"/>
    </xf>
    <xf numFmtId="0" fontId="47" fillId="6" borderId="9" xfId="5" applyFont="1" applyFill="1" applyBorder="1" applyAlignment="1">
      <alignment horizontal="left"/>
    </xf>
    <xf numFmtId="0" fontId="37" fillId="0" borderId="0" xfId="0" applyFont="1"/>
    <xf numFmtId="0" fontId="43" fillId="0" borderId="0" xfId="0" applyFont="1" applyAlignment="1"/>
    <xf numFmtId="0" fontId="0" fillId="0" borderId="0" xfId="0" applyAlignment="1"/>
    <xf numFmtId="0" fontId="14" fillId="0" borderId="0" xfId="0" applyFont="1" applyFill="1" applyAlignment="1"/>
    <xf numFmtId="38" fontId="14" fillId="0" borderId="0" xfId="0" applyNumberFormat="1" applyFont="1" applyFill="1" applyAlignment="1"/>
    <xf numFmtId="0" fontId="14" fillId="0" borderId="0" xfId="0" applyFont="1" applyAlignment="1"/>
    <xf numFmtId="38" fontId="1" fillId="2" borderId="1" xfId="1" applyNumberFormat="1" applyFont="1" applyAlignment="1"/>
    <xf numFmtId="0" fontId="36" fillId="0" borderId="0" xfId="0" applyFont="1" applyFill="1" applyAlignment="1"/>
    <xf numFmtId="0" fontId="36" fillId="0" borderId="0" xfId="0" applyFont="1" applyAlignment="1"/>
    <xf numFmtId="0" fontId="5" fillId="0" borderId="5" xfId="0" applyFont="1" applyBorder="1" applyAlignment="1"/>
    <xf numFmtId="0" fontId="7" fillId="0" borderId="5" xfId="0" applyFont="1" applyBorder="1" applyAlignment="1"/>
    <xf numFmtId="0" fontId="7" fillId="0" borderId="0" xfId="0" applyFont="1" applyAlignment="1"/>
    <xf numFmtId="0" fontId="0" fillId="0" borderId="0" xfId="0" applyFill="1" applyAlignment="1"/>
    <xf numFmtId="0" fontId="8" fillId="0" borderId="0" xfId="0" applyFont="1" applyAlignment="1"/>
    <xf numFmtId="38" fontId="8" fillId="0" borderId="0" xfId="0" applyNumberFormat="1" applyFont="1" applyFill="1" applyAlignment="1"/>
    <xf numFmtId="0" fontId="7" fillId="0" borderId="0" xfId="0" applyFont="1" applyFill="1" applyAlignment="1"/>
    <xf numFmtId="0" fontId="5" fillId="0" borderId="0" xfId="0" applyFont="1" applyFill="1" applyAlignment="1"/>
    <xf numFmtId="38" fontId="7" fillId="0" borderId="0" xfId="0" applyNumberFormat="1" applyFont="1" applyFill="1" applyAlignment="1"/>
    <xf numFmtId="38" fontId="8" fillId="0" borderId="0" xfId="0" applyNumberFormat="1" applyFont="1" applyAlignment="1"/>
    <xf numFmtId="38" fontId="3" fillId="0" borderId="0" xfId="0" applyNumberFormat="1" applyFont="1"/>
    <xf numFmtId="38" fontId="10" fillId="0" borderId="0" xfId="1" applyNumberFormat="1" applyFont="1" applyFill="1" applyBorder="1"/>
    <xf numFmtId="0" fontId="49" fillId="0" borderId="0" xfId="0" applyFont="1"/>
    <xf numFmtId="38" fontId="49" fillId="0" borderId="0" xfId="1" applyNumberFormat="1" applyFont="1" applyFill="1" applyBorder="1"/>
    <xf numFmtId="38" fontId="50" fillId="0" borderId="0" xfId="1" applyNumberFormat="1" applyFont="1" applyFill="1" applyBorder="1" applyAlignment="1">
      <alignment horizontal="center"/>
    </xf>
    <xf numFmtId="38" fontId="6" fillId="0" borderId="0" xfId="0" applyNumberFormat="1" applyFont="1"/>
    <xf numFmtId="0" fontId="12" fillId="0" borderId="0" xfId="0" applyFont="1" applyBorder="1"/>
    <xf numFmtId="0" fontId="3" fillId="0" borderId="0" xfId="0" applyFont="1" applyAlignment="1">
      <alignment horizontal="left"/>
    </xf>
    <xf numFmtId="38" fontId="51" fillId="0" borderId="0" xfId="1" applyNumberFormat="1" applyFont="1" applyFill="1" applyBorder="1" applyAlignment="1">
      <alignment horizontal="center"/>
    </xf>
    <xf numFmtId="0" fontId="52" fillId="0" borderId="0" xfId="0" applyFont="1" applyFill="1" applyBorder="1" applyAlignment="1">
      <alignment horizontal="center"/>
    </xf>
    <xf numFmtId="0" fontId="52" fillId="0" borderId="0" xfId="0" applyFont="1" applyFill="1" applyAlignment="1">
      <alignment horizontal="center"/>
    </xf>
    <xf numFmtId="38" fontId="12" fillId="2" borderId="1" xfId="1" applyNumberFormat="1" applyFont="1"/>
    <xf numFmtId="0" fontId="53" fillId="0" borderId="0" xfId="0" applyFont="1" applyFill="1" applyAlignment="1">
      <alignment horizontal="center"/>
    </xf>
    <xf numFmtId="0" fontId="54" fillId="0" borderId="0" xfId="0" applyFont="1" applyFill="1" applyAlignment="1">
      <alignment horizontal="center"/>
    </xf>
    <xf numFmtId="0" fontId="55" fillId="0" borderId="0" xfId="0" applyFont="1" applyFill="1" applyAlignment="1">
      <alignment horizontal="center"/>
    </xf>
    <xf numFmtId="38" fontId="14" fillId="2" borderId="1" xfId="1" applyNumberFormat="1" applyFont="1"/>
    <xf numFmtId="0" fontId="12" fillId="0" borderId="0" xfId="0" applyFont="1" applyAlignment="1">
      <alignment horizontal="left" indent="1"/>
    </xf>
    <xf numFmtId="0" fontId="49" fillId="0" borderId="0" xfId="0" applyFont="1" applyAlignment="1">
      <alignment horizontal="left" indent="1"/>
    </xf>
    <xf numFmtId="0" fontId="13" fillId="0" borderId="0" xfId="0" applyFont="1" applyAlignment="1"/>
    <xf numFmtId="38" fontId="13" fillId="0" borderId="0" xfId="0" applyNumberFormat="1" applyFont="1" applyAlignment="1"/>
    <xf numFmtId="0" fontId="3" fillId="0" borderId="0" xfId="0" applyFont="1" applyAlignment="1"/>
    <xf numFmtId="0" fontId="12" fillId="0" borderId="0" xfId="0" applyFont="1" applyFill="1" applyAlignment="1"/>
    <xf numFmtId="0" fontId="12" fillId="0" borderId="0" xfId="0" applyFont="1" applyAlignment="1"/>
    <xf numFmtId="38" fontId="12" fillId="0" borderId="0" xfId="0" applyNumberFormat="1" applyFont="1" applyFill="1" applyAlignment="1"/>
    <xf numFmtId="38" fontId="12" fillId="2" borderId="1" xfId="1" applyNumberFormat="1" applyFont="1" applyAlignment="1"/>
    <xf numFmtId="0" fontId="12" fillId="0" borderId="0" xfId="0" applyFont="1" applyFill="1" applyAlignment="1">
      <alignment horizontal="left"/>
    </xf>
    <xf numFmtId="0" fontId="10" fillId="0" borderId="0" xfId="0" applyFont="1" applyAlignment="1"/>
    <xf numFmtId="0" fontId="10" fillId="0" borderId="0" xfId="0" applyFont="1" applyFill="1" applyAlignment="1"/>
    <xf numFmtId="38" fontId="10" fillId="0" borderId="0" xfId="0" applyNumberFormat="1" applyFont="1" applyAlignment="1"/>
    <xf numFmtId="38" fontId="7" fillId="3" borderId="13" xfId="0" applyNumberFormat="1" applyFont="1" applyFill="1" applyBorder="1" applyAlignment="1">
      <alignment horizontal="center"/>
    </xf>
    <xf numFmtId="38" fontId="5" fillId="4" borderId="7" xfId="0" applyNumberFormat="1" applyFont="1" applyFill="1" applyBorder="1"/>
    <xf numFmtId="38" fontId="5" fillId="4" borderId="15" xfId="0" applyNumberFormat="1" applyFont="1" applyFill="1" applyBorder="1"/>
    <xf numFmtId="38" fontId="5" fillId="4" borderId="8" xfId="0" applyNumberFormat="1" applyFont="1" applyFill="1" applyBorder="1"/>
    <xf numFmtId="38" fontId="5" fillId="4" borderId="10" xfId="0" applyNumberFormat="1" applyFont="1" applyFill="1" applyBorder="1"/>
    <xf numFmtId="38" fontId="5" fillId="4" borderId="3" xfId="0" applyNumberFormat="1" applyFont="1" applyFill="1" applyBorder="1"/>
    <xf numFmtId="38" fontId="5" fillId="4" borderId="11" xfId="1" applyNumberFormat="1" applyFont="1" applyFill="1" applyBorder="1"/>
    <xf numFmtId="38" fontId="8" fillId="2" borderId="1" xfId="1" applyNumberFormat="1" applyFont="1" applyAlignment="1"/>
    <xf numFmtId="0" fontId="13" fillId="0" borderId="0" xfId="0" applyFont="1" applyFill="1" applyAlignment="1"/>
    <xf numFmtId="0" fontId="14" fillId="0" borderId="0" xfId="0" applyFont="1" applyAlignment="1">
      <alignment horizontal="center"/>
    </xf>
    <xf numFmtId="0" fontId="12" fillId="0" borderId="0" xfId="0" applyFont="1" applyFill="1" applyAlignment="1">
      <alignment horizontal="center"/>
    </xf>
    <xf numFmtId="38" fontId="7" fillId="0" borderId="0" xfId="0" applyNumberFormat="1" applyFont="1"/>
    <xf numFmtId="0" fontId="6" fillId="0" borderId="0" xfId="0" applyFont="1" applyFill="1"/>
    <xf numFmtId="164" fontId="5" fillId="0" borderId="0" xfId="0" applyNumberFormat="1" applyFont="1" applyFill="1" applyAlignment="1"/>
    <xf numFmtId="0" fontId="7" fillId="4" borderId="14" xfId="0" applyFont="1" applyFill="1" applyBorder="1"/>
    <xf numFmtId="0" fontId="4" fillId="4" borderId="14" xfId="0" applyFont="1" applyFill="1" applyBorder="1" applyAlignment="1">
      <alignment horizontal="center"/>
    </xf>
    <xf numFmtId="38" fontId="7" fillId="4" borderId="14" xfId="1" applyNumberFormat="1" applyFont="1" applyFill="1" applyBorder="1"/>
    <xf numFmtId="9" fontId="1" fillId="2" borderId="12" xfId="1" applyNumberFormat="1" applyFont="1" applyBorder="1" applyAlignment="1">
      <alignment horizontal="center"/>
    </xf>
    <xf numFmtId="38" fontId="1" fillId="2" borderId="16" xfId="1" applyNumberFormat="1" applyBorder="1"/>
    <xf numFmtId="0" fontId="7" fillId="4" borderId="17" xfId="0" applyFont="1" applyFill="1" applyBorder="1"/>
    <xf numFmtId="38" fontId="32" fillId="4" borderId="17" xfId="0" applyNumberFormat="1" applyFont="1" applyFill="1" applyBorder="1" applyAlignment="1">
      <alignment horizontal="center"/>
    </xf>
    <xf numFmtId="38" fontId="7" fillId="4" borderId="17" xfId="1" applyNumberFormat="1" applyFont="1" applyFill="1" applyBorder="1"/>
    <xf numFmtId="0" fontId="3" fillId="4" borderId="14" xfId="0" applyFont="1" applyFill="1" applyBorder="1"/>
    <xf numFmtId="0" fontId="18" fillId="4" borderId="14" xfId="0" applyFont="1" applyFill="1" applyBorder="1" applyAlignment="1">
      <alignment horizontal="center"/>
    </xf>
    <xf numFmtId="38" fontId="3" fillId="4" borderId="14" xfId="1" applyNumberFormat="1" applyFont="1" applyFill="1" applyBorder="1"/>
    <xf numFmtId="0" fontId="49" fillId="0" borderId="0" xfId="0" applyFont="1" applyBorder="1"/>
    <xf numFmtId="0" fontId="53" fillId="0" borderId="0" xfId="0" applyFont="1" applyFill="1" applyBorder="1" applyAlignment="1">
      <alignment horizontal="center"/>
    </xf>
    <xf numFmtId="0" fontId="14" fillId="0" borderId="0" xfId="0" applyFont="1" applyBorder="1"/>
    <xf numFmtId="0" fontId="15" fillId="0" borderId="0" xfId="0" applyFont="1" applyBorder="1"/>
    <xf numFmtId="38" fontId="15" fillId="0" borderId="0" xfId="1" applyNumberFormat="1" applyFont="1" applyFill="1" applyBorder="1"/>
    <xf numFmtId="0" fontId="12" fillId="0" borderId="0" xfId="0" applyFont="1" applyBorder="1" applyAlignment="1">
      <alignment horizontal="left" indent="1"/>
    </xf>
    <xf numFmtId="0" fontId="49" fillId="0" borderId="0" xfId="0" applyFont="1" applyBorder="1" applyAlignment="1">
      <alignment horizontal="left" indent="1"/>
    </xf>
    <xf numFmtId="0" fontId="25" fillId="0" borderId="3" xfId="0" applyFont="1" applyBorder="1"/>
    <xf numFmtId="38" fontId="5" fillId="0" borderId="0" xfId="0" applyNumberFormat="1" applyFont="1" applyAlignment="1"/>
    <xf numFmtId="0" fontId="7" fillId="0" borderId="0" xfId="0" applyFont="1" applyBorder="1"/>
    <xf numFmtId="0" fontId="57" fillId="0" borderId="0" xfId="0" applyFont="1"/>
    <xf numFmtId="0" fontId="55" fillId="0" borderId="0" xfId="0" applyFont="1" applyFill="1" applyBorder="1" applyAlignment="1">
      <alignment horizontal="center"/>
    </xf>
    <xf numFmtId="0" fontId="13" fillId="0" borderId="3" xfId="0" applyFont="1" applyBorder="1"/>
    <xf numFmtId="38" fontId="13" fillId="0" borderId="3" xfId="0" applyNumberFormat="1" applyFont="1" applyBorder="1"/>
    <xf numFmtId="38" fontId="14" fillId="0" borderId="0" xfId="0" applyNumberFormat="1" applyFont="1"/>
    <xf numFmtId="0" fontId="58" fillId="0" borderId="0" xfId="0" applyFont="1" applyFill="1" applyBorder="1" applyAlignment="1">
      <alignment horizontal="center"/>
    </xf>
    <xf numFmtId="38" fontId="15" fillId="0" borderId="0" xfId="0" applyNumberFormat="1" applyFont="1"/>
    <xf numFmtId="0" fontId="13" fillId="0" borderId="0" xfId="0" applyFont="1" applyBorder="1"/>
    <xf numFmtId="0" fontId="59" fillId="0" borderId="0" xfId="0" applyFont="1" applyFill="1" applyBorder="1" applyAlignment="1">
      <alignment horizontal="center"/>
    </xf>
    <xf numFmtId="38" fontId="13" fillId="0" borderId="0" xfId="0" applyNumberFormat="1" applyFont="1" applyBorder="1"/>
    <xf numFmtId="165" fontId="8" fillId="0" borderId="4" xfId="1" applyNumberFormat="1" applyFont="1" applyFill="1" applyBorder="1" applyAlignment="1">
      <alignment horizontal="center"/>
    </xf>
    <xf numFmtId="166" fontId="8" fillId="0" borderId="4" xfId="2" applyNumberFormat="1" applyFont="1" applyBorder="1" applyAlignment="1">
      <alignment horizontal="center"/>
    </xf>
    <xf numFmtId="164" fontId="8" fillId="0" borderId="4" xfId="2" applyNumberFormat="1" applyFont="1" applyBorder="1" applyAlignment="1">
      <alignment horizontal="center"/>
    </xf>
    <xf numFmtId="0" fontId="14" fillId="0" borderId="0" xfId="0" applyFont="1" applyAlignment="1">
      <alignment horizontal="left" indent="1"/>
    </xf>
    <xf numFmtId="0" fontId="15" fillId="0" borderId="0" xfId="0" applyFont="1" applyAlignment="1">
      <alignment horizontal="left" indent="1"/>
    </xf>
    <xf numFmtId="0" fontId="8" fillId="0" borderId="3" xfId="0" applyFont="1" applyBorder="1" applyAlignment="1">
      <alignment horizontal="left" indent="1"/>
    </xf>
    <xf numFmtId="2" fontId="14" fillId="0" borderId="0" xfId="0" applyNumberFormat="1" applyFont="1" applyAlignment="1"/>
    <xf numFmtId="0" fontId="46" fillId="6" borderId="20" xfId="5" applyFont="1" applyFill="1" applyBorder="1" applyAlignment="1">
      <alignment vertical="center"/>
    </xf>
    <xf numFmtId="0" fontId="47" fillId="6" borderId="21" xfId="5" applyFont="1" applyFill="1" applyBorder="1" applyAlignment="1"/>
    <xf numFmtId="0" fontId="47" fillId="6" borderId="22" xfId="5" applyFont="1" applyFill="1" applyBorder="1" applyAlignment="1"/>
    <xf numFmtId="0" fontId="60" fillId="6" borderId="23" xfId="5" quotePrefix="1" applyFont="1" applyFill="1" applyBorder="1" applyAlignment="1">
      <alignment horizontal="left"/>
    </xf>
    <xf numFmtId="0" fontId="47" fillId="6" borderId="21" xfId="5" applyFont="1" applyFill="1" applyBorder="1" applyAlignment="1">
      <alignment horizontal="left"/>
    </xf>
    <xf numFmtId="0" fontId="47" fillId="6" borderId="9" xfId="5" applyFont="1" applyFill="1" applyBorder="1" applyAlignment="1"/>
    <xf numFmtId="0" fontId="47" fillId="6" borderId="11" xfId="5" applyFont="1" applyFill="1" applyBorder="1" applyAlignment="1"/>
    <xf numFmtId="0" fontId="5" fillId="0" borderId="18" xfId="5" applyFont="1" applyBorder="1" applyAlignment="1">
      <alignment horizontal="left" indent="1"/>
    </xf>
    <xf numFmtId="0" fontId="5" fillId="0" borderId="18" xfId="5" applyFont="1" applyBorder="1" applyAlignment="1"/>
    <xf numFmtId="1" fontId="5" fillId="0" borderId="18" xfId="5" applyNumberFormat="1" applyFont="1" applyBorder="1" applyAlignment="1">
      <alignment horizontal="center"/>
    </xf>
    <xf numFmtId="0" fontId="5" fillId="0" borderId="0" xfId="5" applyFont="1" applyAlignment="1">
      <alignment horizontal="left" indent="1"/>
    </xf>
    <xf numFmtId="6" fontId="5" fillId="0" borderId="0" xfId="0" applyNumberFormat="1" applyFont="1" applyAlignment="1"/>
    <xf numFmtId="6" fontId="5" fillId="0" borderId="18" xfId="0" applyNumberFormat="1" applyFont="1" applyBorder="1" applyAlignment="1"/>
    <xf numFmtId="6" fontId="5" fillId="0" borderId="0" xfId="0" applyNumberFormat="1" applyFont="1" applyBorder="1" applyAlignment="1"/>
    <xf numFmtId="0" fontId="5" fillId="0" borderId="0" xfId="5" applyFont="1" applyBorder="1" applyAlignment="1">
      <alignment horizontal="left" indent="1"/>
    </xf>
    <xf numFmtId="0" fontId="5" fillId="0" borderId="0" xfId="5" applyFont="1" applyBorder="1" applyAlignment="1"/>
    <xf numFmtId="0" fontId="5" fillId="0" borderId="19" xfId="5" applyFont="1" applyBorder="1" applyAlignment="1">
      <alignment horizontal="left" indent="1"/>
    </xf>
    <xf numFmtId="0" fontId="5" fillId="0" borderId="19" xfId="5" applyFont="1" applyBorder="1" applyAlignment="1"/>
    <xf numFmtId="6" fontId="5" fillId="0" borderId="19" xfId="0" applyNumberFormat="1" applyFont="1" applyBorder="1" applyAlignment="1"/>
    <xf numFmtId="38" fontId="7" fillId="0" borderId="0" xfId="0" applyNumberFormat="1" applyFont="1" applyAlignment="1">
      <alignment horizontal="center"/>
    </xf>
    <xf numFmtId="6" fontId="5" fillId="0" borderId="0" xfId="0" applyNumberFormat="1" applyFont="1" applyAlignment="1">
      <alignment horizontal="center"/>
    </xf>
    <xf numFmtId="0" fontId="5" fillId="0" borderId="0" xfId="5" applyFont="1" applyAlignment="1">
      <alignment horizontal="left" indent="2"/>
    </xf>
    <xf numFmtId="0" fontId="5" fillId="0" borderId="18" xfId="5" applyFont="1" applyBorder="1" applyAlignment="1">
      <alignment horizontal="left" indent="2"/>
    </xf>
    <xf numFmtId="0" fontId="5" fillId="0" borderId="0" xfId="5" applyFont="1" applyBorder="1" applyAlignment="1">
      <alignment horizontal="left" indent="2"/>
    </xf>
    <xf numFmtId="0" fontId="62" fillId="0" borderId="0" xfId="5" applyFont="1" applyAlignment="1"/>
  </cellXfs>
  <cellStyles count="6">
    <cellStyle name="60% - Accent1" xfId="4" builtinId="32"/>
    <cellStyle name="Input" xfId="1" builtinId="20"/>
    <cellStyle name="Normal" xfId="0" builtinId="0"/>
    <cellStyle name="Normal 2" xfId="5" xr:uid="{77A86C7F-8510-442B-8116-083FDD6287F1}"/>
    <cellStyle name="Normal 2 2" xfId="3" xr:uid="{00000000-0005-0000-0000-000003000000}"/>
    <cellStyle name="Percent" xfId="2" builtinId="5"/>
  </cellStyles>
  <dxfs count="0"/>
  <tableStyles count="0" defaultTableStyle="TableStyleMedium9" defaultPivotStyle="PivotStyleLight16"/>
  <colors>
    <mruColors>
      <color rgb="FF000066"/>
      <color rgb="FF003300"/>
      <color rgb="FF0000FF"/>
      <color rgb="FF008000"/>
      <color rgb="FF33CC33"/>
      <color rgb="FF663300"/>
      <color rgb="FF000099"/>
      <color rgb="FF996600"/>
      <color rgb="FFCC9900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1388EB-46F3-4DC2-8B69-7D511BE29755}">
  <sheetPr>
    <tabColor theme="9" tint="-0.249977111117893"/>
  </sheetPr>
  <dimension ref="A1:O39"/>
  <sheetViews>
    <sheetView showGridLines="0" tabSelected="1" zoomScaleNormal="100" workbookViewId="0">
      <pane xSplit="2" ySplit="1" topLeftCell="C2" activePane="bottomRight" state="frozenSplit"/>
      <selection pane="topRight"/>
      <selection pane="bottomLeft"/>
      <selection pane="bottomRight" activeCell="R39" sqref="R39"/>
    </sheetView>
  </sheetViews>
  <sheetFormatPr defaultRowHeight="15"/>
  <cols>
    <col min="1" max="1" width="4.28515625" style="104" customWidth="1"/>
    <col min="2" max="2" width="26.5703125" style="104" bestFit="1" customWidth="1"/>
    <col min="3" max="3" width="10.42578125" style="104" bestFit="1" customWidth="1"/>
    <col min="4" max="4" width="12" style="104" bestFit="1" customWidth="1"/>
    <col min="5" max="5" width="11.140625" style="104" bestFit="1" customWidth="1"/>
    <col min="6" max="13" width="9.85546875" style="104" bestFit="1" customWidth="1"/>
    <col min="14" max="14" width="9.140625" style="104"/>
    <col min="15" max="15" width="9.7109375" style="104" bestFit="1" customWidth="1"/>
    <col min="16" max="16384" width="9.140625" style="104"/>
  </cols>
  <sheetData>
    <row r="1" spans="1:15" ht="16.5" thickBot="1">
      <c r="A1" s="103" t="s">
        <v>95</v>
      </c>
      <c r="C1" s="87" t="s">
        <v>51</v>
      </c>
      <c r="D1" s="94">
        <v>1</v>
      </c>
      <c r="E1" s="94">
        <v>2</v>
      </c>
      <c r="F1" s="94">
        <v>3</v>
      </c>
      <c r="G1" s="94">
        <v>4</v>
      </c>
      <c r="H1" s="94">
        <v>5</v>
      </c>
      <c r="I1" s="94">
        <v>6</v>
      </c>
      <c r="J1" s="94">
        <v>7</v>
      </c>
      <c r="K1" s="94">
        <v>8</v>
      </c>
      <c r="L1" s="94">
        <v>9</v>
      </c>
      <c r="M1" s="94">
        <v>10</v>
      </c>
    </row>
    <row r="2" spans="1:15" ht="8.25" customHeight="1"/>
    <row r="3" spans="1:15" s="115" customFormat="1">
      <c r="A3" s="141" t="s">
        <v>115</v>
      </c>
      <c r="D3" s="157">
        <v>12</v>
      </c>
      <c r="E3" s="157">
        <v>15</v>
      </c>
      <c r="F3" s="157">
        <v>18</v>
      </c>
      <c r="G3" s="157">
        <v>18</v>
      </c>
      <c r="H3" s="157">
        <v>18</v>
      </c>
      <c r="I3" s="157">
        <v>18</v>
      </c>
      <c r="J3" s="157">
        <v>18</v>
      </c>
      <c r="K3" s="157">
        <v>18</v>
      </c>
      <c r="L3" s="157">
        <v>18</v>
      </c>
      <c r="M3" s="157">
        <v>18</v>
      </c>
    </row>
    <row r="4" spans="1:15" s="11" customFormat="1" ht="8.25" customHeight="1" thickBot="1">
      <c r="A4" s="111"/>
      <c r="B4" s="111"/>
      <c r="C4" s="41"/>
      <c r="D4" s="112"/>
      <c r="E4" s="112"/>
      <c r="F4" s="112"/>
      <c r="G4" s="112"/>
      <c r="H4" s="112"/>
      <c r="I4" s="112"/>
      <c r="J4" s="112"/>
      <c r="K4" s="112"/>
      <c r="L4" s="112"/>
      <c r="M4" s="112"/>
    </row>
    <row r="5" spans="1:15" s="11" customFormat="1" ht="8.25" customHeight="1" thickTop="1">
      <c r="C5" s="3"/>
      <c r="D5" s="113"/>
      <c r="E5" s="113"/>
      <c r="F5" s="113"/>
      <c r="G5" s="113"/>
      <c r="H5" s="113"/>
      <c r="I5" s="113"/>
      <c r="J5" s="113"/>
      <c r="K5" s="113"/>
      <c r="L5" s="113"/>
      <c r="M5" s="113"/>
    </row>
    <row r="6" spans="1:15" s="107" customFormat="1">
      <c r="A6" s="158" t="s">
        <v>91</v>
      </c>
      <c r="C6" s="106" t="s">
        <v>118</v>
      </c>
      <c r="D6" s="106"/>
      <c r="E6" s="106"/>
      <c r="F6" s="106"/>
      <c r="G6" s="106"/>
      <c r="H6" s="106"/>
      <c r="I6" s="106"/>
      <c r="J6" s="106"/>
      <c r="K6" s="106"/>
      <c r="L6" s="106"/>
      <c r="M6" s="106"/>
    </row>
    <row r="7" spans="1:15" s="107" customFormat="1">
      <c r="B7" s="107" t="s">
        <v>67</v>
      </c>
      <c r="C7" s="159" t="s">
        <v>116</v>
      </c>
      <c r="D7" s="108">
        <v>180000</v>
      </c>
      <c r="E7" s="108">
        <v>243000</v>
      </c>
      <c r="F7" s="108">
        <v>313920</v>
      </c>
      <c r="G7" s="108">
        <v>337104</v>
      </c>
      <c r="H7" s="108">
        <v>361325</v>
      </c>
      <c r="I7" s="108">
        <v>386790</v>
      </c>
      <c r="J7" s="108">
        <v>413748</v>
      </c>
      <c r="K7" s="108">
        <v>442497</v>
      </c>
      <c r="L7" s="108">
        <v>473397</v>
      </c>
      <c r="M7" s="108">
        <v>506876</v>
      </c>
    </row>
    <row r="8" spans="1:15" s="107" customFormat="1">
      <c r="B8" s="107" t="s">
        <v>68</v>
      </c>
      <c r="C8" s="159" t="s">
        <v>117</v>
      </c>
      <c r="D8" s="108">
        <v>350000</v>
      </c>
      <c r="E8" s="108">
        <v>518750</v>
      </c>
      <c r="F8" s="108">
        <v>711250</v>
      </c>
      <c r="G8" s="108">
        <v>796563</v>
      </c>
      <c r="H8" s="108">
        <v>899453</v>
      </c>
      <c r="I8" s="108">
        <v>1024316</v>
      </c>
      <c r="J8" s="108">
        <v>1176646</v>
      </c>
      <c r="K8" s="108">
        <v>1363307</v>
      </c>
      <c r="L8" s="108">
        <v>1592884</v>
      </c>
      <c r="M8" s="108">
        <v>1876105</v>
      </c>
    </row>
    <row r="9" spans="1:15" s="107" customFormat="1">
      <c r="B9" s="107" t="s">
        <v>69</v>
      </c>
      <c r="C9" s="159" t="s">
        <v>116</v>
      </c>
      <c r="D9" s="108">
        <v>48000</v>
      </c>
      <c r="E9" s="108">
        <v>82800</v>
      </c>
      <c r="F9" s="108">
        <v>124416</v>
      </c>
      <c r="G9" s="108">
        <v>161741</v>
      </c>
      <c r="H9" s="108">
        <v>201554</v>
      </c>
      <c r="I9" s="108">
        <v>259781</v>
      </c>
      <c r="J9" s="108">
        <v>322486</v>
      </c>
      <c r="K9" s="108">
        <v>399883</v>
      </c>
      <c r="L9" s="108">
        <v>495339</v>
      </c>
      <c r="M9" s="108">
        <v>612982</v>
      </c>
    </row>
    <row r="10" spans="1:15" s="107" customFormat="1">
      <c r="B10" s="107" t="s">
        <v>70</v>
      </c>
      <c r="C10" s="159" t="s">
        <v>116</v>
      </c>
      <c r="D10" s="108">
        <v>6000</v>
      </c>
      <c r="E10" s="108">
        <v>15000</v>
      </c>
      <c r="F10" s="108">
        <v>36000</v>
      </c>
      <c r="G10" s="108">
        <v>72000</v>
      </c>
      <c r="H10" s="108">
        <v>144000</v>
      </c>
      <c r="I10" s="108">
        <v>288000</v>
      </c>
      <c r="J10" s="108">
        <v>576000</v>
      </c>
      <c r="K10" s="108">
        <v>1152000</v>
      </c>
      <c r="L10" s="108">
        <v>2304000</v>
      </c>
      <c r="M10" s="108">
        <v>4608000</v>
      </c>
      <c r="O10" s="201"/>
    </row>
    <row r="11" spans="1:15" s="107" customFormat="1">
      <c r="B11" s="107" t="s">
        <v>71</v>
      </c>
      <c r="C11" s="159" t="s">
        <v>116</v>
      </c>
      <c r="D11" s="108" t="s">
        <v>84</v>
      </c>
      <c r="E11" s="108" t="s">
        <v>85</v>
      </c>
      <c r="F11" s="108">
        <v>18000</v>
      </c>
      <c r="G11" s="108">
        <v>18000</v>
      </c>
      <c r="H11" s="108">
        <v>18000</v>
      </c>
      <c r="I11" s="108">
        <v>18000</v>
      </c>
      <c r="J11" s="108">
        <v>36000</v>
      </c>
      <c r="K11" s="108">
        <v>36000</v>
      </c>
      <c r="L11" s="108">
        <v>36000</v>
      </c>
      <c r="M11" s="108">
        <v>36000</v>
      </c>
    </row>
    <row r="12" spans="1:15" s="107" customFormat="1">
      <c r="B12" s="107" t="s">
        <v>72</v>
      </c>
      <c r="C12" s="159" t="s">
        <v>117</v>
      </c>
      <c r="D12" s="108">
        <v>33000</v>
      </c>
      <c r="E12" s="108">
        <v>33000</v>
      </c>
      <c r="F12" s="108">
        <v>44000</v>
      </c>
      <c r="G12" s="108">
        <v>44000</v>
      </c>
      <c r="H12" s="108">
        <v>44000</v>
      </c>
      <c r="I12" s="108">
        <v>44000</v>
      </c>
      <c r="J12" s="108">
        <v>44000</v>
      </c>
      <c r="K12" s="108">
        <v>44000</v>
      </c>
      <c r="L12" s="108">
        <v>44000</v>
      </c>
      <c r="M12" s="108">
        <v>44000</v>
      </c>
    </row>
    <row r="13" spans="1:15" s="107" customFormat="1">
      <c r="B13" s="107" t="s">
        <v>73</v>
      </c>
      <c r="C13" s="159" t="s">
        <v>117</v>
      </c>
      <c r="D13" s="108">
        <v>30000</v>
      </c>
      <c r="E13" s="108">
        <v>37500</v>
      </c>
      <c r="F13" s="108">
        <v>45000</v>
      </c>
      <c r="G13" s="108">
        <v>45000</v>
      </c>
      <c r="H13" s="108">
        <v>45000</v>
      </c>
      <c r="I13" s="108">
        <v>45000</v>
      </c>
      <c r="J13" s="108">
        <v>45000</v>
      </c>
      <c r="K13" s="108">
        <v>45000</v>
      </c>
      <c r="L13" s="108">
        <v>45000</v>
      </c>
      <c r="M13" s="108">
        <v>45000</v>
      </c>
    </row>
    <row r="14" spans="1:15" s="107" customFormat="1">
      <c r="B14" s="107" t="s">
        <v>74</v>
      </c>
      <c r="C14" s="159" t="s">
        <v>117</v>
      </c>
      <c r="D14" s="108">
        <v>15000</v>
      </c>
      <c r="E14" s="108">
        <v>15000</v>
      </c>
      <c r="F14" s="108">
        <v>22500</v>
      </c>
      <c r="G14" s="108">
        <v>26250</v>
      </c>
      <c r="H14" s="108">
        <v>39375</v>
      </c>
      <c r="I14" s="108">
        <v>51563</v>
      </c>
      <c r="J14" s="108">
        <v>77344</v>
      </c>
      <c r="K14" s="108">
        <v>108516</v>
      </c>
      <c r="L14" s="108">
        <v>162773</v>
      </c>
      <c r="M14" s="108">
        <v>236660</v>
      </c>
    </row>
    <row r="15" spans="1:15" s="139" customFormat="1">
      <c r="A15" s="139" t="s">
        <v>92</v>
      </c>
      <c r="D15" s="140">
        <f t="shared" ref="D15:M15" si="0">SUM(D7:D14)</f>
        <v>662000</v>
      </c>
      <c r="E15" s="140">
        <f t="shared" si="0"/>
        <v>945050</v>
      </c>
      <c r="F15" s="140">
        <f t="shared" si="0"/>
        <v>1315086</v>
      </c>
      <c r="G15" s="140">
        <f t="shared" si="0"/>
        <v>1500658</v>
      </c>
      <c r="H15" s="140">
        <f t="shared" si="0"/>
        <v>1752707</v>
      </c>
      <c r="I15" s="140">
        <f t="shared" si="0"/>
        <v>2117450</v>
      </c>
      <c r="J15" s="140">
        <f t="shared" si="0"/>
        <v>2691224</v>
      </c>
      <c r="K15" s="140">
        <f t="shared" si="0"/>
        <v>3591203</v>
      </c>
      <c r="L15" s="140">
        <f t="shared" si="0"/>
        <v>5153393</v>
      </c>
      <c r="M15" s="140">
        <f t="shared" si="0"/>
        <v>7965623</v>
      </c>
    </row>
    <row r="16" spans="1:15" s="11" customFormat="1" ht="8.25" customHeight="1" thickBot="1">
      <c r="A16" s="111"/>
      <c r="B16" s="111"/>
      <c r="C16" s="41"/>
      <c r="D16" s="112"/>
      <c r="E16" s="112"/>
      <c r="F16" s="112"/>
      <c r="G16" s="112"/>
      <c r="H16" s="112"/>
      <c r="I16" s="112"/>
      <c r="J16" s="112"/>
      <c r="K16" s="112"/>
      <c r="L16" s="112"/>
      <c r="M16" s="112"/>
    </row>
    <row r="17" spans="1:13" s="11" customFormat="1" ht="8.25" customHeight="1" thickTop="1">
      <c r="C17" s="3"/>
      <c r="D17" s="113"/>
      <c r="E17" s="113"/>
      <c r="F17" s="113"/>
      <c r="G17" s="113"/>
      <c r="H17" s="113"/>
      <c r="I17" s="113"/>
      <c r="J17" s="113"/>
      <c r="K17" s="113"/>
      <c r="L17" s="113"/>
      <c r="M17" s="113"/>
    </row>
    <row r="18" spans="1:13">
      <c r="A18" s="148" t="s">
        <v>75</v>
      </c>
      <c r="B18" s="143"/>
      <c r="C18" s="148" t="s">
        <v>119</v>
      </c>
      <c r="D18" s="142"/>
      <c r="E18" s="142"/>
      <c r="F18" s="142"/>
      <c r="G18" s="142"/>
      <c r="H18" s="142"/>
      <c r="I18" s="142"/>
      <c r="J18" s="142"/>
      <c r="K18" s="142"/>
      <c r="L18" s="142"/>
      <c r="M18" s="144"/>
    </row>
    <row r="19" spans="1:13" s="115" customFormat="1">
      <c r="A19" s="143"/>
      <c r="B19" s="143" t="s">
        <v>76</v>
      </c>
      <c r="C19" s="160" t="s">
        <v>117</v>
      </c>
      <c r="D19" s="145">
        <v>176400</v>
      </c>
      <c r="E19" s="145">
        <v>273750</v>
      </c>
      <c r="F19" s="145">
        <v>399600</v>
      </c>
      <c r="G19" s="145">
        <v>466200</v>
      </c>
      <c r="H19" s="145">
        <v>532800</v>
      </c>
      <c r="I19" s="145">
        <v>599400</v>
      </c>
      <c r="J19" s="145">
        <v>666000</v>
      </c>
      <c r="K19" s="145">
        <v>732600</v>
      </c>
      <c r="L19" s="145">
        <v>799200</v>
      </c>
      <c r="M19" s="145">
        <v>865800</v>
      </c>
    </row>
    <row r="20" spans="1:13" s="115" customFormat="1">
      <c r="A20" s="143"/>
      <c r="B20" s="143" t="s">
        <v>77</v>
      </c>
      <c r="C20" s="160" t="s">
        <v>117</v>
      </c>
      <c r="D20" s="145">
        <v>44000</v>
      </c>
      <c r="E20" s="145">
        <v>100000</v>
      </c>
      <c r="F20" s="145">
        <v>112000</v>
      </c>
      <c r="G20" s="145">
        <v>112000</v>
      </c>
      <c r="H20" s="145">
        <v>112000</v>
      </c>
      <c r="I20" s="145">
        <v>112000</v>
      </c>
      <c r="J20" s="145">
        <v>112000</v>
      </c>
      <c r="K20" s="145">
        <v>112000</v>
      </c>
      <c r="L20" s="145">
        <v>112000</v>
      </c>
      <c r="M20" s="145">
        <v>112000</v>
      </c>
    </row>
    <row r="21" spans="1:13" s="115" customFormat="1">
      <c r="A21" s="143"/>
      <c r="B21" s="143" t="s">
        <v>78</v>
      </c>
      <c r="C21" s="160" t="s">
        <v>116</v>
      </c>
      <c r="D21" s="145">
        <v>12000</v>
      </c>
      <c r="E21" s="145">
        <v>13800</v>
      </c>
      <c r="F21" s="145">
        <v>15870</v>
      </c>
      <c r="G21" s="145">
        <v>18251</v>
      </c>
      <c r="H21" s="145">
        <v>20988</v>
      </c>
      <c r="I21" s="145">
        <v>24136</v>
      </c>
      <c r="J21" s="145">
        <v>27757</v>
      </c>
      <c r="K21" s="145">
        <v>31920</v>
      </c>
      <c r="L21" s="145">
        <v>36708</v>
      </c>
      <c r="M21" s="145">
        <v>42215</v>
      </c>
    </row>
    <row r="22" spans="1:13" s="115" customFormat="1">
      <c r="A22" s="143"/>
      <c r="B22" s="143" t="s">
        <v>79</v>
      </c>
      <c r="C22" s="160" t="s">
        <v>116</v>
      </c>
      <c r="D22" s="145">
        <v>24000</v>
      </c>
      <c r="E22" s="145">
        <v>60000</v>
      </c>
      <c r="F22" s="145">
        <v>144000</v>
      </c>
      <c r="G22" s="145">
        <v>158400</v>
      </c>
      <c r="H22" s="145">
        <v>174240</v>
      </c>
      <c r="I22" s="145">
        <v>383328</v>
      </c>
      <c r="J22" s="145">
        <v>421661</v>
      </c>
      <c r="K22" s="145">
        <v>463827</v>
      </c>
      <c r="L22" s="145">
        <v>510210</v>
      </c>
      <c r="M22" s="145">
        <v>561231</v>
      </c>
    </row>
    <row r="23" spans="1:13" s="115" customFormat="1">
      <c r="A23" s="143"/>
      <c r="B23" s="143" t="s">
        <v>80</v>
      </c>
      <c r="C23" s="160" t="s">
        <v>117</v>
      </c>
      <c r="D23" s="145">
        <v>21600</v>
      </c>
      <c r="E23" s="145">
        <v>27000</v>
      </c>
      <c r="F23" s="145">
        <v>32400</v>
      </c>
      <c r="G23" s="145">
        <v>32400</v>
      </c>
      <c r="H23" s="145">
        <v>32400</v>
      </c>
      <c r="I23" s="145">
        <v>32400</v>
      </c>
      <c r="J23" s="145">
        <v>32400</v>
      </c>
      <c r="K23" s="145">
        <v>32400</v>
      </c>
      <c r="L23" s="145">
        <v>32400</v>
      </c>
      <c r="M23" s="145">
        <v>32400</v>
      </c>
    </row>
    <row r="24" spans="1:13" s="115" customFormat="1">
      <c r="A24" s="143"/>
      <c r="B24" s="143" t="s">
        <v>81</v>
      </c>
      <c r="C24" s="160" t="s">
        <v>117</v>
      </c>
      <c r="D24" s="145">
        <v>86000</v>
      </c>
      <c r="E24" s="145">
        <v>116000</v>
      </c>
      <c r="F24" s="145">
        <v>116000</v>
      </c>
      <c r="G24" s="145">
        <v>116000</v>
      </c>
      <c r="H24" s="145">
        <v>232000</v>
      </c>
      <c r="I24" s="145">
        <v>232000</v>
      </c>
      <c r="J24" s="145">
        <v>232000</v>
      </c>
      <c r="K24" s="145">
        <v>464000</v>
      </c>
      <c r="L24" s="145">
        <v>464000</v>
      </c>
      <c r="M24" s="145">
        <v>464000</v>
      </c>
    </row>
    <row r="25" spans="1:13" s="115" customFormat="1">
      <c r="A25" s="143"/>
      <c r="B25" s="143" t="s">
        <v>82</v>
      </c>
      <c r="C25" s="160" t="s">
        <v>117</v>
      </c>
      <c r="D25" s="145">
        <v>7200</v>
      </c>
      <c r="E25" s="145">
        <v>14400</v>
      </c>
      <c r="F25" s="145">
        <v>14400</v>
      </c>
      <c r="G25" s="145">
        <v>14400</v>
      </c>
      <c r="H25" s="145">
        <v>14400</v>
      </c>
      <c r="I25" s="145">
        <v>14400</v>
      </c>
      <c r="J25" s="145">
        <v>14400</v>
      </c>
      <c r="K25" s="145">
        <v>28800</v>
      </c>
      <c r="L25" s="145">
        <v>28800</v>
      </c>
      <c r="M25" s="145">
        <v>28800</v>
      </c>
    </row>
    <row r="26" spans="1:13" s="115" customFormat="1">
      <c r="A26" s="143"/>
      <c r="B26" s="143" t="s">
        <v>83</v>
      </c>
      <c r="C26" s="160" t="s">
        <v>117</v>
      </c>
      <c r="D26" s="145" t="s">
        <v>84</v>
      </c>
      <c r="E26" s="145">
        <v>45000</v>
      </c>
      <c r="F26" s="145">
        <v>45000</v>
      </c>
      <c r="G26" s="145">
        <v>45000</v>
      </c>
      <c r="H26" s="145">
        <v>46350</v>
      </c>
      <c r="I26" s="145">
        <v>46350</v>
      </c>
      <c r="J26" s="145">
        <v>46350</v>
      </c>
      <c r="K26" s="145">
        <v>95481</v>
      </c>
      <c r="L26" s="145">
        <v>95481</v>
      </c>
      <c r="M26" s="145">
        <v>95481</v>
      </c>
    </row>
    <row r="27" spans="1:13" s="115" customFormat="1">
      <c r="A27" s="143"/>
      <c r="B27" s="146" t="s">
        <v>93</v>
      </c>
      <c r="C27" s="160" t="s">
        <v>117</v>
      </c>
      <c r="D27" s="145">
        <v>23900</v>
      </c>
      <c r="E27" s="145">
        <v>63900</v>
      </c>
      <c r="F27" s="145">
        <v>79875</v>
      </c>
      <c r="G27" s="145">
        <v>99844</v>
      </c>
      <c r="H27" s="145">
        <v>124805</v>
      </c>
      <c r="I27" s="145">
        <v>156006</v>
      </c>
      <c r="J27" s="145">
        <v>195007</v>
      </c>
      <c r="K27" s="145">
        <v>243759</v>
      </c>
      <c r="L27" s="145">
        <v>304699</v>
      </c>
      <c r="M27" s="145">
        <v>380874</v>
      </c>
    </row>
    <row r="28" spans="1:13" s="141" customFormat="1">
      <c r="A28" s="147" t="s">
        <v>94</v>
      </c>
      <c r="B28" s="147"/>
      <c r="C28" s="148"/>
      <c r="D28" s="149">
        <f>SUM(D19:D27)</f>
        <v>395100</v>
      </c>
      <c r="E28" s="149">
        <f t="shared" ref="E28:M28" si="1">SUM(E19:E27)</f>
        <v>713850</v>
      </c>
      <c r="F28" s="149">
        <f t="shared" si="1"/>
        <v>959145</v>
      </c>
      <c r="G28" s="149">
        <f t="shared" si="1"/>
        <v>1062495</v>
      </c>
      <c r="H28" s="149">
        <f t="shared" si="1"/>
        <v>1289983</v>
      </c>
      <c r="I28" s="149">
        <f t="shared" si="1"/>
        <v>1600020</v>
      </c>
      <c r="J28" s="149">
        <f t="shared" si="1"/>
        <v>1747575</v>
      </c>
      <c r="K28" s="149">
        <f t="shared" si="1"/>
        <v>2204787</v>
      </c>
      <c r="L28" s="149">
        <f t="shared" si="1"/>
        <v>2383498</v>
      </c>
      <c r="M28" s="149">
        <f t="shared" si="1"/>
        <v>2582801</v>
      </c>
    </row>
    <row r="29" spans="1:13" s="11" customFormat="1" ht="8.25" customHeight="1" thickBot="1">
      <c r="A29" s="111"/>
      <c r="B29" s="111"/>
      <c r="C29" s="41"/>
      <c r="D29" s="112"/>
      <c r="E29" s="112"/>
      <c r="F29" s="112"/>
      <c r="G29" s="112"/>
      <c r="H29" s="112"/>
      <c r="I29" s="112"/>
      <c r="J29" s="112"/>
      <c r="K29" s="112"/>
      <c r="L29" s="112"/>
      <c r="M29" s="112"/>
    </row>
    <row r="30" spans="1:13" s="11" customFormat="1" ht="8.25" customHeight="1" thickTop="1">
      <c r="C30" s="3"/>
      <c r="D30" s="113"/>
      <c r="E30" s="113"/>
      <c r="F30" s="113"/>
      <c r="G30" s="113"/>
      <c r="H30" s="113"/>
      <c r="I30" s="113"/>
      <c r="J30" s="113"/>
      <c r="K30" s="113"/>
      <c r="L30" s="113"/>
      <c r="M30" s="113"/>
    </row>
    <row r="31" spans="1:13" s="11" customFormat="1">
      <c r="A31" s="117" t="s">
        <v>100</v>
      </c>
      <c r="B31" s="118"/>
      <c r="C31" s="72" t="s">
        <v>53</v>
      </c>
      <c r="D31" s="119">
        <f>D15-D28</f>
        <v>266900</v>
      </c>
      <c r="E31" s="119">
        <f t="shared" ref="E31:M31" si="2">E15-E28</f>
        <v>231200</v>
      </c>
      <c r="F31" s="119">
        <f t="shared" si="2"/>
        <v>355941</v>
      </c>
      <c r="G31" s="119">
        <f t="shared" si="2"/>
        <v>438163</v>
      </c>
      <c r="H31" s="119">
        <f t="shared" si="2"/>
        <v>462724</v>
      </c>
      <c r="I31" s="119">
        <f t="shared" si="2"/>
        <v>517430</v>
      </c>
      <c r="J31" s="119">
        <f t="shared" si="2"/>
        <v>943649</v>
      </c>
      <c r="K31" s="119">
        <f t="shared" si="2"/>
        <v>1386416</v>
      </c>
      <c r="L31" s="119">
        <f t="shared" si="2"/>
        <v>2769895</v>
      </c>
      <c r="M31" s="119">
        <f t="shared" si="2"/>
        <v>5382822</v>
      </c>
    </row>
    <row r="32" spans="1:13" s="110" customFormat="1" ht="9">
      <c r="A32" s="109"/>
    </row>
    <row r="33" spans="1:13" s="107" customFormat="1" ht="8.25" customHeight="1">
      <c r="A33" s="105"/>
      <c r="B33" s="105"/>
      <c r="C33" s="105"/>
      <c r="D33" s="116"/>
      <c r="E33" s="116"/>
      <c r="F33" s="116"/>
      <c r="G33" s="116"/>
      <c r="H33" s="116"/>
      <c r="I33" s="116"/>
      <c r="J33" s="116"/>
      <c r="K33" s="116"/>
      <c r="L33" s="116"/>
      <c r="M33" s="116"/>
    </row>
    <row r="34" spans="1:13" s="107" customFormat="1">
      <c r="D34" s="120"/>
      <c r="E34" s="120"/>
      <c r="F34" s="120"/>
      <c r="G34" s="120"/>
      <c r="H34" s="120"/>
      <c r="I34" s="120"/>
      <c r="J34" s="120"/>
      <c r="K34" s="120"/>
      <c r="L34" s="120"/>
      <c r="M34" s="120"/>
    </row>
    <row r="36" spans="1:13" s="11" customFormat="1">
      <c r="A36" s="118"/>
      <c r="B36" s="118"/>
      <c r="C36" s="118"/>
      <c r="D36" s="118"/>
      <c r="E36" s="118"/>
      <c r="F36" s="118"/>
      <c r="G36" s="118"/>
      <c r="H36" s="118"/>
      <c r="I36" s="118"/>
      <c r="J36" s="118"/>
      <c r="K36" s="118"/>
      <c r="L36" s="118"/>
      <c r="M36" s="118"/>
    </row>
    <row r="37" spans="1:13">
      <c r="A37" s="114"/>
      <c r="B37" s="114"/>
      <c r="C37" s="114"/>
      <c r="D37" s="114"/>
      <c r="E37" s="114"/>
      <c r="F37" s="114"/>
      <c r="G37" s="114"/>
      <c r="H37" s="114"/>
      <c r="I37" s="114"/>
      <c r="J37" s="114"/>
      <c r="K37" s="114"/>
      <c r="L37" s="114"/>
      <c r="M37" s="114"/>
    </row>
    <row r="38" spans="1:13">
      <c r="A38" s="114"/>
      <c r="B38" s="114"/>
      <c r="C38" s="114"/>
    </row>
    <row r="39" spans="1:13">
      <c r="A39" s="114"/>
      <c r="B39" s="114"/>
      <c r="C39" s="114"/>
    </row>
  </sheetData>
  <sheetProtection algorithmName="SHA-512" hashValue="wne0l4mQaV4xyf53VpeqAfyuM8i76TRPCigIWPTTtr9QRtO862ojeIzvdIUIITqPWP4yIqj5/pCS466x1pFgOg==" saltValue="dYBEe7WjKuP3rrFTRTxWQg==" spinCount="100000" sheet="1" objects="1" scenarios="1"/>
  <dataValidations count="1">
    <dataValidation type="list" allowBlank="1" showInputMessage="1" showErrorMessage="1" sqref="C7:C14 C19:C27" xr:uid="{67D8D566-D0C6-42C5-A80D-53475CCEEE83}">
      <formula1>"Yes,No"</formula1>
    </dataValidation>
  </dataValidations>
  <pageMargins left="0.7" right="0.7" top="0.75" bottom="0.75" header="0.3" footer="0.3"/>
  <pageSetup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9" tint="-0.249977111117893"/>
  </sheetPr>
  <dimension ref="A1:M22"/>
  <sheetViews>
    <sheetView showGridLines="0" zoomScaleNormal="100" workbookViewId="0">
      <pane xSplit="2" ySplit="1" topLeftCell="C2" activePane="bottomRight" state="frozenSplit"/>
      <selection pane="topRight"/>
      <selection pane="bottomLeft"/>
      <selection pane="bottomRight"/>
    </sheetView>
  </sheetViews>
  <sheetFormatPr defaultRowHeight="15"/>
  <cols>
    <col min="1" max="1" width="4.28515625" customWidth="1"/>
    <col min="2" max="2" width="20.7109375" bestFit="1" customWidth="1"/>
    <col min="3" max="3" width="5.140625" bestFit="1" customWidth="1"/>
    <col min="4" max="13" width="9.85546875" bestFit="1" customWidth="1"/>
  </cols>
  <sheetData>
    <row r="1" spans="1:13" ht="16.5" thickBot="1">
      <c r="A1" s="93" t="s">
        <v>57</v>
      </c>
      <c r="C1" s="87" t="s">
        <v>51</v>
      </c>
      <c r="D1" s="94">
        <v>1</v>
      </c>
      <c r="E1" s="94">
        <v>2</v>
      </c>
      <c r="F1" s="94">
        <v>3</v>
      </c>
      <c r="G1" s="94">
        <v>4</v>
      </c>
      <c r="H1" s="94">
        <v>5</v>
      </c>
      <c r="I1" s="94">
        <v>6</v>
      </c>
      <c r="J1" s="94">
        <v>7</v>
      </c>
      <c r="K1" s="94">
        <v>8</v>
      </c>
      <c r="L1" s="94">
        <v>9</v>
      </c>
      <c r="M1" s="94">
        <v>10</v>
      </c>
    </row>
    <row r="2" spans="1:13" ht="8.25" customHeight="1"/>
    <row r="3" spans="1:13" s="23" customFormat="1">
      <c r="A3" s="25" t="s">
        <v>107</v>
      </c>
      <c r="B3" s="88"/>
      <c r="C3" s="89"/>
      <c r="D3" s="89"/>
      <c r="E3" s="89"/>
      <c r="F3" s="89"/>
      <c r="G3" s="89"/>
      <c r="H3" s="89"/>
      <c r="I3" s="89"/>
      <c r="J3" s="89"/>
      <c r="K3" s="89"/>
      <c r="L3" s="89"/>
      <c r="M3" s="89"/>
    </row>
    <row r="4" spans="1:13" s="23" customFormat="1">
      <c r="A4" s="88"/>
      <c r="B4" s="25" t="s">
        <v>109</v>
      </c>
      <c r="C4" s="82">
        <v>4.7E-2</v>
      </c>
      <c r="D4" s="49">
        <v>100</v>
      </c>
      <c r="E4" s="49">
        <v>100</v>
      </c>
      <c r="F4" s="49">
        <v>100</v>
      </c>
      <c r="G4" s="49">
        <v>100</v>
      </c>
      <c r="H4" s="49">
        <v>100</v>
      </c>
      <c r="I4" s="49">
        <v>100</v>
      </c>
      <c r="J4" s="49">
        <v>100</v>
      </c>
      <c r="K4" s="49">
        <v>100</v>
      </c>
      <c r="L4" s="49">
        <v>100</v>
      </c>
      <c r="M4" s="49">
        <v>100</v>
      </c>
    </row>
    <row r="5" spans="1:13" s="23" customFormat="1">
      <c r="A5" s="88"/>
      <c r="B5" s="25" t="s">
        <v>110</v>
      </c>
      <c r="C5" s="82">
        <v>4.9000000000000002E-2</v>
      </c>
      <c r="D5" s="49">
        <v>200</v>
      </c>
      <c r="E5" s="49">
        <v>200</v>
      </c>
      <c r="F5" s="49">
        <v>200</v>
      </c>
      <c r="G5" s="49">
        <v>200</v>
      </c>
      <c r="H5" s="49">
        <v>200</v>
      </c>
      <c r="I5" s="49">
        <v>200</v>
      </c>
      <c r="J5" s="49">
        <v>200</v>
      </c>
      <c r="K5" s="49">
        <v>200</v>
      </c>
      <c r="L5" s="49">
        <v>200</v>
      </c>
      <c r="M5" s="49">
        <v>200</v>
      </c>
    </row>
    <row r="6" spans="1:13" s="23" customFormat="1">
      <c r="A6" s="88"/>
      <c r="B6" s="25" t="s">
        <v>32</v>
      </c>
      <c r="C6" s="88"/>
      <c r="D6" s="89">
        <f>D4*$C4+D5*$C5</f>
        <v>14.5</v>
      </c>
      <c r="E6" s="89">
        <f t="shared" ref="E6:M6" si="0">E4*$C4+E5*$C5</f>
        <v>14.5</v>
      </c>
      <c r="F6" s="89">
        <f t="shared" si="0"/>
        <v>14.5</v>
      </c>
      <c r="G6" s="89">
        <f t="shared" si="0"/>
        <v>14.5</v>
      </c>
      <c r="H6" s="89">
        <f t="shared" si="0"/>
        <v>14.5</v>
      </c>
      <c r="I6" s="89">
        <f t="shared" si="0"/>
        <v>14.5</v>
      </c>
      <c r="J6" s="89">
        <f t="shared" si="0"/>
        <v>14.5</v>
      </c>
      <c r="K6" s="89">
        <f t="shared" si="0"/>
        <v>14.5</v>
      </c>
      <c r="L6" s="89">
        <f t="shared" si="0"/>
        <v>14.5</v>
      </c>
      <c r="M6" s="89">
        <f t="shared" si="0"/>
        <v>14.5</v>
      </c>
    </row>
    <row r="7" spans="1:13" s="4" customFormat="1" ht="8.25" customHeight="1" thickBot="1">
      <c r="A7" s="40"/>
      <c r="B7" s="40"/>
      <c r="C7" s="41"/>
      <c r="D7" s="42"/>
      <c r="E7" s="42"/>
      <c r="F7" s="42"/>
      <c r="G7" s="42"/>
      <c r="H7" s="42"/>
      <c r="I7" s="42"/>
      <c r="J7" s="42"/>
      <c r="K7" s="42"/>
      <c r="L7" s="42"/>
      <c r="M7" s="42"/>
    </row>
    <row r="8" spans="1:13" s="4" customFormat="1" ht="8.25" customHeight="1" thickTop="1">
      <c r="C8" s="3"/>
      <c r="D8" s="10"/>
      <c r="E8" s="10"/>
      <c r="F8" s="10"/>
      <c r="G8" s="10"/>
      <c r="H8" s="10"/>
      <c r="I8" s="10"/>
      <c r="J8" s="10"/>
      <c r="K8" s="10"/>
      <c r="L8" s="10"/>
      <c r="M8" s="10"/>
    </row>
    <row r="9" spans="1:13">
      <c r="A9" s="31" t="s">
        <v>108</v>
      </c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8"/>
    </row>
    <row r="10" spans="1:13" s="14" customFormat="1">
      <c r="A10" s="29"/>
      <c r="B10" s="31" t="s">
        <v>111</v>
      </c>
      <c r="C10" s="82">
        <v>4.2000000000000003E-2</v>
      </c>
      <c r="D10" s="49">
        <v>300</v>
      </c>
      <c r="E10" s="49">
        <v>300</v>
      </c>
      <c r="F10" s="49">
        <v>300</v>
      </c>
      <c r="G10" s="49">
        <v>300</v>
      </c>
      <c r="H10" s="49">
        <v>300</v>
      </c>
      <c r="I10" s="49">
        <v>300</v>
      </c>
      <c r="J10" s="49">
        <v>300</v>
      </c>
      <c r="K10" s="49">
        <v>300</v>
      </c>
      <c r="L10" s="49">
        <v>300</v>
      </c>
      <c r="M10" s="49">
        <v>300</v>
      </c>
    </row>
    <row r="11" spans="1:13" s="14" customFormat="1">
      <c r="A11" s="29"/>
      <c r="B11" s="31" t="s">
        <v>113</v>
      </c>
      <c r="C11" s="82">
        <v>0.04</v>
      </c>
      <c r="D11" s="49">
        <v>400</v>
      </c>
      <c r="E11" s="49">
        <v>400</v>
      </c>
      <c r="F11" s="49">
        <v>400</v>
      </c>
      <c r="G11" s="49">
        <v>400</v>
      </c>
      <c r="H11" s="49">
        <v>400</v>
      </c>
      <c r="I11" s="49">
        <v>400</v>
      </c>
      <c r="J11" s="49">
        <v>400</v>
      </c>
      <c r="K11" s="49">
        <v>400</v>
      </c>
      <c r="L11" s="49">
        <v>400</v>
      </c>
      <c r="M11" s="49">
        <v>400</v>
      </c>
    </row>
    <row r="12" spans="1:13" s="14" customFormat="1">
      <c r="A12" s="29"/>
      <c r="B12" s="31" t="s">
        <v>32</v>
      </c>
      <c r="C12" s="90"/>
      <c r="D12" s="89">
        <f>D10*$C10+D11*$C11</f>
        <v>28.6</v>
      </c>
      <c r="E12" s="89">
        <f t="shared" ref="E12:M12" si="1">E10*$C10+E11*$C11</f>
        <v>28.6</v>
      </c>
      <c r="F12" s="89">
        <f t="shared" si="1"/>
        <v>28.6</v>
      </c>
      <c r="G12" s="89">
        <f t="shared" si="1"/>
        <v>28.6</v>
      </c>
      <c r="H12" s="89">
        <f t="shared" si="1"/>
        <v>28.6</v>
      </c>
      <c r="I12" s="89">
        <f t="shared" si="1"/>
        <v>28.6</v>
      </c>
      <c r="J12" s="89">
        <f t="shared" si="1"/>
        <v>28.6</v>
      </c>
      <c r="K12" s="89">
        <f t="shared" si="1"/>
        <v>28.6</v>
      </c>
      <c r="L12" s="89">
        <f t="shared" si="1"/>
        <v>28.6</v>
      </c>
      <c r="M12" s="89">
        <f t="shared" si="1"/>
        <v>28.6</v>
      </c>
    </row>
    <row r="13" spans="1:13" s="4" customFormat="1" ht="8.25" customHeight="1" thickBot="1">
      <c r="A13" s="40"/>
      <c r="B13" s="40"/>
      <c r="C13" s="41"/>
      <c r="D13" s="42"/>
      <c r="E13" s="42"/>
      <c r="F13" s="42"/>
      <c r="G13" s="42"/>
      <c r="H13" s="42"/>
      <c r="I13" s="42"/>
      <c r="J13" s="42"/>
      <c r="K13" s="42"/>
      <c r="L13" s="42"/>
      <c r="M13" s="42"/>
    </row>
    <row r="14" spans="1:13" s="4" customFormat="1" ht="8.25" customHeight="1" thickTop="1">
      <c r="C14" s="3"/>
      <c r="D14" s="10"/>
      <c r="E14" s="10"/>
      <c r="F14" s="10"/>
      <c r="G14" s="10"/>
      <c r="H14" s="10"/>
      <c r="I14" s="10"/>
      <c r="J14" s="10"/>
      <c r="K14" s="10"/>
      <c r="L14" s="10"/>
      <c r="M14" s="10"/>
    </row>
    <row r="15" spans="1:13" s="4" customFormat="1">
      <c r="A15" s="26" t="s">
        <v>44</v>
      </c>
      <c r="B15" s="6"/>
      <c r="C15" s="72" t="s">
        <v>53</v>
      </c>
      <c r="D15" s="91">
        <f>SUM(D6,D12)</f>
        <v>43.1</v>
      </c>
      <c r="E15" s="91">
        <f t="shared" ref="E15:M15" si="2">SUM(E6,E12)</f>
        <v>43.1</v>
      </c>
      <c r="F15" s="91">
        <f t="shared" si="2"/>
        <v>43.1</v>
      </c>
      <c r="G15" s="91">
        <f t="shared" si="2"/>
        <v>43.1</v>
      </c>
      <c r="H15" s="91">
        <f t="shared" si="2"/>
        <v>43.1</v>
      </c>
      <c r="I15" s="91">
        <f t="shared" si="2"/>
        <v>43.1</v>
      </c>
      <c r="J15" s="91">
        <f t="shared" si="2"/>
        <v>43.1</v>
      </c>
      <c r="K15" s="91">
        <f t="shared" si="2"/>
        <v>43.1</v>
      </c>
      <c r="L15" s="91">
        <f t="shared" si="2"/>
        <v>43.1</v>
      </c>
      <c r="M15" s="91">
        <f t="shared" si="2"/>
        <v>43.1</v>
      </c>
    </row>
    <row r="16" spans="1:13" s="23" customFormat="1" ht="8.25" customHeight="1">
      <c r="A16" s="88"/>
      <c r="B16" s="88"/>
      <c r="C16" s="88"/>
      <c r="D16" s="90"/>
      <c r="E16" s="90"/>
      <c r="F16" s="90"/>
      <c r="G16" s="90"/>
      <c r="H16" s="90"/>
      <c r="I16" s="90"/>
      <c r="J16" s="90"/>
      <c r="K16" s="90"/>
      <c r="L16" s="90"/>
      <c r="M16" s="90"/>
    </row>
    <row r="17" spans="1:13" s="23" customFormat="1">
      <c r="D17" s="35"/>
      <c r="E17" s="35"/>
      <c r="F17" s="35"/>
      <c r="G17" s="35"/>
      <c r="H17" s="35"/>
      <c r="I17" s="35"/>
      <c r="J17" s="35"/>
      <c r="K17" s="35"/>
      <c r="L17" s="35"/>
      <c r="M17" s="35"/>
    </row>
    <row r="19" spans="1:13" s="4" customFormat="1">
      <c r="A19" s="6"/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</row>
    <row r="20" spans="1:13">
      <c r="A20" s="17"/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</row>
    <row r="21" spans="1:13">
      <c r="A21" s="17"/>
      <c r="B21" s="17"/>
      <c r="C21" s="17"/>
    </row>
    <row r="22" spans="1:13">
      <c r="A22" s="17"/>
      <c r="B22" s="17"/>
      <c r="C22" s="17"/>
    </row>
  </sheetData>
  <sheetProtection algorithmName="SHA-512" hashValue="UXiyIoByGyR8ZeUwVNie8knhClYjIl8XACnYoUr+fO5OQT5xkpJCBYHLEfjNs/aNuAe8LD6qqf9Su6yKc//R8Q==" saltValue="kk42IStKhFvGtC2s2NXB5w==" spinCount="100000" sheet="1" objects="1" scenarios="1"/>
  <pageMargins left="0.7" right="0.7" top="0.75" bottom="0.75" header="0.3" footer="0.3"/>
  <pageSetup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8000"/>
  </sheetPr>
  <dimension ref="A1:P29"/>
  <sheetViews>
    <sheetView showGridLines="0" zoomScaleNormal="100" workbookViewId="0">
      <pane xSplit="2" ySplit="1" topLeftCell="C2" activePane="bottomRight" state="frozenSplit"/>
      <selection activeCell="I12" sqref="I12"/>
      <selection pane="topRight" activeCell="I12" sqref="I12"/>
      <selection pane="bottomLeft" activeCell="I12" sqref="I12"/>
      <selection pane="bottomRight"/>
    </sheetView>
  </sheetViews>
  <sheetFormatPr defaultRowHeight="15"/>
  <cols>
    <col min="1" max="1" width="4.28515625" customWidth="1"/>
    <col min="2" max="2" width="16.85546875" bestFit="1" customWidth="1"/>
    <col min="3" max="3" width="5.140625" style="2" bestFit="1" customWidth="1"/>
    <col min="4" max="5" width="9.28515625" style="13" bestFit="1" customWidth="1"/>
    <col min="6" max="7" width="9.85546875" style="13" bestFit="1" customWidth="1"/>
    <col min="8" max="11" width="10.85546875" style="13" bestFit="1" customWidth="1"/>
    <col min="12" max="13" width="11.5703125" style="13" bestFit="1" customWidth="1"/>
    <col min="14" max="14" width="1.5703125" customWidth="1"/>
    <col min="15" max="15" width="11.28515625" bestFit="1" customWidth="1"/>
    <col min="16" max="16" width="16.42578125" bestFit="1" customWidth="1"/>
  </cols>
  <sheetData>
    <row r="1" spans="1:14" s="43" customFormat="1" ht="16.5" thickBot="1">
      <c r="A1" s="93" t="s">
        <v>48</v>
      </c>
      <c r="C1" s="87" t="s">
        <v>51</v>
      </c>
      <c r="D1" s="94">
        <v>1</v>
      </c>
      <c r="E1" s="94">
        <v>2</v>
      </c>
      <c r="F1" s="94">
        <v>3</v>
      </c>
      <c r="G1" s="94">
        <v>4</v>
      </c>
      <c r="H1" s="94">
        <v>5</v>
      </c>
      <c r="I1" s="94">
        <v>6</v>
      </c>
      <c r="J1" s="94">
        <v>7</v>
      </c>
      <c r="K1" s="94">
        <v>8</v>
      </c>
      <c r="L1" s="94">
        <v>9</v>
      </c>
      <c r="M1" s="94">
        <v>10</v>
      </c>
    </row>
    <row r="2" spans="1:14" ht="8.25" customHeight="1">
      <c r="C2"/>
      <c r="D2"/>
      <c r="E2"/>
      <c r="F2"/>
      <c r="G2"/>
      <c r="H2"/>
      <c r="I2"/>
      <c r="J2"/>
      <c r="K2"/>
      <c r="L2"/>
      <c r="M2"/>
    </row>
    <row r="3" spans="1:14" s="4" customFormat="1">
      <c r="B3" s="162" t="s">
        <v>0</v>
      </c>
      <c r="C3" s="5"/>
      <c r="D3" s="12"/>
      <c r="E3" s="12"/>
      <c r="F3" s="12"/>
      <c r="G3" s="12"/>
      <c r="H3" s="12"/>
      <c r="I3" s="12"/>
      <c r="J3" s="12"/>
      <c r="K3" s="12"/>
      <c r="L3" s="12"/>
      <c r="M3" s="12"/>
    </row>
    <row r="4" spans="1:14" s="4" customFormat="1">
      <c r="A4" s="26"/>
      <c r="B4" s="4" t="s">
        <v>121</v>
      </c>
      <c r="C4" s="5"/>
      <c r="D4" s="12">
        <f>SUMIF(RevExp!$C7:$C14,"Yes",RevExp!D7:D14)</f>
        <v>234000</v>
      </c>
      <c r="E4" s="12">
        <f>SUMIF(RevExp!$C7:$C14,"Yes",RevExp!E7:E14)</f>
        <v>340800</v>
      </c>
      <c r="F4" s="12">
        <f>SUMIF(RevExp!$C7:$C14,"Yes",RevExp!F7:F14)</f>
        <v>492336</v>
      </c>
      <c r="G4" s="12">
        <f>SUMIF(RevExp!$C7:$C14,"Yes",RevExp!G7:G14)</f>
        <v>588845</v>
      </c>
      <c r="H4" s="12">
        <f>SUMIF(RevExp!$C7:$C14,"Yes",RevExp!H7:H14)</f>
        <v>724879</v>
      </c>
      <c r="I4" s="12">
        <f>SUMIF(RevExp!$C7:$C14,"Yes",RevExp!I7:I14)</f>
        <v>952571</v>
      </c>
      <c r="J4" s="12">
        <f>SUMIF(RevExp!$C7:$C14,"Yes",RevExp!J7:J14)</f>
        <v>1348234</v>
      </c>
      <c r="K4" s="12">
        <f>SUMIF(RevExp!$C7:$C14,"Yes",RevExp!K7:K14)</f>
        <v>2030380</v>
      </c>
      <c r="L4" s="12">
        <f>SUMIF(RevExp!$C7:$C14,"Yes",RevExp!L7:L14)</f>
        <v>3308736</v>
      </c>
      <c r="M4" s="12">
        <f>SUMIF(RevExp!$C7:$C14,"Yes",RevExp!M7:M14)</f>
        <v>5763858</v>
      </c>
      <c r="N4" s="12"/>
    </row>
    <row r="5" spans="1:14" s="4" customFormat="1">
      <c r="A5" s="26"/>
      <c r="B5" s="9" t="s">
        <v>122</v>
      </c>
      <c r="C5" s="79"/>
      <c r="D5" s="126">
        <f>SUMIF(RevExp!$C7:$C14,"No",RevExp!D7:D14)</f>
        <v>428000</v>
      </c>
      <c r="E5" s="126">
        <f>SUMIF(RevExp!$C7:$C14,"No",RevExp!E7:E14)</f>
        <v>604250</v>
      </c>
      <c r="F5" s="126">
        <f>SUMIF(RevExp!$C7:$C14,"No",RevExp!F7:F14)</f>
        <v>822750</v>
      </c>
      <c r="G5" s="126">
        <f>SUMIF(RevExp!$C7:$C14,"No",RevExp!G7:G14)</f>
        <v>911813</v>
      </c>
      <c r="H5" s="126">
        <f>SUMIF(RevExp!$C7:$C14,"No",RevExp!H7:H14)</f>
        <v>1027828</v>
      </c>
      <c r="I5" s="126">
        <f>SUMIF(RevExp!$C7:$C14,"No",RevExp!I7:I14)</f>
        <v>1164879</v>
      </c>
      <c r="J5" s="126">
        <f>SUMIF(RevExp!$C7:$C14,"No",RevExp!J7:J14)</f>
        <v>1342990</v>
      </c>
      <c r="K5" s="126">
        <f>SUMIF(RevExp!$C7:$C14,"No",RevExp!K7:K14)</f>
        <v>1560823</v>
      </c>
      <c r="L5" s="126">
        <f>SUMIF(RevExp!$C7:$C14,"No",RevExp!L7:L14)</f>
        <v>1844657</v>
      </c>
      <c r="M5" s="126">
        <f>SUMIF(RevExp!$C7:$C14,"No",RevExp!M7:M14)</f>
        <v>2201765</v>
      </c>
      <c r="N5" s="12"/>
    </row>
    <row r="6" spans="1:14" s="10" customFormat="1">
      <c r="A6" s="10" t="s">
        <v>123</v>
      </c>
      <c r="C6" s="78"/>
      <c r="D6" s="161">
        <f t="shared" ref="D6:M6" si="0">SUM(D3:D5)</f>
        <v>662000</v>
      </c>
      <c r="E6" s="161">
        <f t="shared" si="0"/>
        <v>945050</v>
      </c>
      <c r="F6" s="161">
        <f t="shared" si="0"/>
        <v>1315086</v>
      </c>
      <c r="G6" s="161">
        <f t="shared" si="0"/>
        <v>1500658</v>
      </c>
      <c r="H6" s="161">
        <f t="shared" si="0"/>
        <v>1752707</v>
      </c>
      <c r="I6" s="161">
        <f t="shared" si="0"/>
        <v>2117450</v>
      </c>
      <c r="J6" s="161">
        <f t="shared" si="0"/>
        <v>2691224</v>
      </c>
      <c r="K6" s="161">
        <f t="shared" si="0"/>
        <v>3591203</v>
      </c>
      <c r="L6" s="161">
        <f t="shared" si="0"/>
        <v>5153393</v>
      </c>
      <c r="M6" s="161">
        <f t="shared" si="0"/>
        <v>7965623</v>
      </c>
      <c r="N6" s="161"/>
    </row>
    <row r="7" spans="1:14" s="4" customFormat="1">
      <c r="B7" s="4" t="s">
        <v>60</v>
      </c>
      <c r="C7" s="2"/>
      <c r="D7" s="12">
        <f>SUMIF(RevExp!$C19:$C27,"Yes",RevExp!D19:D27)</f>
        <v>36000</v>
      </c>
      <c r="E7" s="12">
        <f>SUMIF(RevExp!$C19:$C27,"Yes",RevExp!E19:E27)</f>
        <v>73800</v>
      </c>
      <c r="F7" s="12">
        <f>SUMIF(RevExp!$C19:$C27,"Yes",RevExp!F19:F27)</f>
        <v>159870</v>
      </c>
      <c r="G7" s="12">
        <f>SUMIF(RevExp!$C19:$C27,"Yes",RevExp!G19:G27)</f>
        <v>176651</v>
      </c>
      <c r="H7" s="12">
        <f>SUMIF(RevExp!$C19:$C27,"Yes",RevExp!H19:H27)</f>
        <v>195228</v>
      </c>
      <c r="I7" s="12">
        <f>SUMIF(RevExp!$C19:$C27,"Yes",RevExp!I19:I27)</f>
        <v>407464</v>
      </c>
      <c r="J7" s="12">
        <f>SUMIF(RevExp!$C19:$C27,"Yes",RevExp!J19:J27)</f>
        <v>449418</v>
      </c>
      <c r="K7" s="12">
        <f>SUMIF(RevExp!$C19:$C27,"Yes",RevExp!K19:K27)</f>
        <v>495747</v>
      </c>
      <c r="L7" s="12">
        <f>SUMIF(RevExp!$C19:$C27,"Yes",RevExp!L19:L27)</f>
        <v>546918</v>
      </c>
      <c r="M7" s="12">
        <f>SUMIF(RevExp!$C19:$C27,"Yes",RevExp!M19:M27)</f>
        <v>603446</v>
      </c>
    </row>
    <row r="8" spans="1:14" s="26" customFormat="1">
      <c r="A8" s="26" t="s">
        <v>1</v>
      </c>
      <c r="C8" s="55"/>
      <c r="D8" s="60">
        <f t="shared" ref="D8:M8" si="1">D6-D7</f>
        <v>626000</v>
      </c>
      <c r="E8" s="60">
        <f t="shared" si="1"/>
        <v>871250</v>
      </c>
      <c r="F8" s="60">
        <f t="shared" si="1"/>
        <v>1155216</v>
      </c>
      <c r="G8" s="60">
        <f t="shared" si="1"/>
        <v>1324007</v>
      </c>
      <c r="H8" s="60">
        <f t="shared" si="1"/>
        <v>1557479</v>
      </c>
      <c r="I8" s="60">
        <f t="shared" si="1"/>
        <v>1709986</v>
      </c>
      <c r="J8" s="60">
        <f t="shared" si="1"/>
        <v>2241806</v>
      </c>
      <c r="K8" s="60">
        <f t="shared" si="1"/>
        <v>3095456</v>
      </c>
      <c r="L8" s="60">
        <f t="shared" si="1"/>
        <v>4606475</v>
      </c>
      <c r="M8" s="60">
        <f t="shared" si="1"/>
        <v>7362177</v>
      </c>
      <c r="N8" s="60"/>
    </row>
    <row r="9" spans="1:14" s="8" customFormat="1">
      <c r="B9" s="163" t="s">
        <v>2</v>
      </c>
      <c r="C9" s="2"/>
      <c r="D9" s="76">
        <f t="shared" ref="D9:M9" si="2">IF(ISERROR(D8/D6),0,D8/D6)</f>
        <v>0.94561933534743203</v>
      </c>
      <c r="E9" s="76">
        <f t="shared" si="2"/>
        <v>0.9219088937093276</v>
      </c>
      <c r="F9" s="76">
        <f t="shared" si="2"/>
        <v>0.87843380584995967</v>
      </c>
      <c r="G9" s="76">
        <f t="shared" si="2"/>
        <v>0.88228430461837404</v>
      </c>
      <c r="H9" s="76">
        <f t="shared" si="2"/>
        <v>0.88861344195008063</v>
      </c>
      <c r="I9" s="76">
        <f t="shared" si="2"/>
        <v>0.807568537627807</v>
      </c>
      <c r="J9" s="76">
        <f t="shared" si="2"/>
        <v>0.8330060968540709</v>
      </c>
      <c r="K9" s="76">
        <f t="shared" si="2"/>
        <v>0.86195517212477268</v>
      </c>
      <c r="L9" s="76">
        <f t="shared" si="2"/>
        <v>0.89387225076760113</v>
      </c>
      <c r="M9" s="76">
        <f t="shared" si="2"/>
        <v>0.92424371577715891</v>
      </c>
    </row>
    <row r="10" spans="1:14" s="4" customFormat="1">
      <c r="B10" s="4" t="s">
        <v>65</v>
      </c>
      <c r="D10" s="126">
        <f>SUMIF(RevExp!$C19:$C27,"No",RevExp!D19:D27)</f>
        <v>359100</v>
      </c>
      <c r="E10" s="126">
        <f>SUMIF(RevExp!$C19:$C27,"No",RevExp!E19:E27)</f>
        <v>640050</v>
      </c>
      <c r="F10" s="126">
        <f>SUMIF(RevExp!$C19:$C27,"No",RevExp!F19:F27)</f>
        <v>799275</v>
      </c>
      <c r="G10" s="126">
        <f>SUMIF(RevExp!$C19:$C27,"No",RevExp!G19:G27)</f>
        <v>885844</v>
      </c>
      <c r="H10" s="126">
        <f>SUMIF(RevExp!$C19:$C27,"No",RevExp!H19:H27)</f>
        <v>1094755</v>
      </c>
      <c r="I10" s="126">
        <f>SUMIF(RevExp!$C19:$C27,"No",RevExp!I19:I27)</f>
        <v>1192556</v>
      </c>
      <c r="J10" s="126">
        <f>SUMIF(RevExp!$C19:$C27,"No",RevExp!J19:J27)</f>
        <v>1298157</v>
      </c>
      <c r="K10" s="126">
        <f>SUMIF(RevExp!$C19:$C27,"No",RevExp!K19:K27)</f>
        <v>1709040</v>
      </c>
      <c r="L10" s="126">
        <f>SUMIF(RevExp!$C19:$C27,"No",RevExp!L19:L27)</f>
        <v>1836580</v>
      </c>
      <c r="M10" s="126">
        <f>SUMIF(RevExp!$C19:$C27,"No",RevExp!M19:M27)</f>
        <v>1979355</v>
      </c>
    </row>
    <row r="11" spans="1:14" s="26" customFormat="1">
      <c r="A11" s="26" t="s">
        <v>3</v>
      </c>
      <c r="C11" s="78"/>
      <c r="D11" s="60">
        <f t="shared" ref="D11:M11" si="3">D8-D10</f>
        <v>266900</v>
      </c>
      <c r="E11" s="60">
        <f t="shared" si="3"/>
        <v>231200</v>
      </c>
      <c r="F11" s="60">
        <f t="shared" si="3"/>
        <v>355941</v>
      </c>
      <c r="G11" s="60">
        <f t="shared" si="3"/>
        <v>438163</v>
      </c>
      <c r="H11" s="60">
        <f t="shared" si="3"/>
        <v>462724</v>
      </c>
      <c r="I11" s="60">
        <f t="shared" si="3"/>
        <v>517430</v>
      </c>
      <c r="J11" s="60">
        <f t="shared" si="3"/>
        <v>943649</v>
      </c>
      <c r="K11" s="60">
        <f t="shared" si="3"/>
        <v>1386416</v>
      </c>
      <c r="L11" s="60">
        <f t="shared" si="3"/>
        <v>2769895</v>
      </c>
      <c r="M11" s="60">
        <f t="shared" si="3"/>
        <v>5382822</v>
      </c>
    </row>
    <row r="12" spans="1:14" s="4" customFormat="1">
      <c r="B12" s="4" t="s">
        <v>103</v>
      </c>
      <c r="C12" s="5"/>
      <c r="D12" s="49"/>
      <c r="E12" s="49"/>
      <c r="F12" s="49"/>
      <c r="G12" s="49"/>
      <c r="H12" s="49"/>
      <c r="I12" s="49"/>
      <c r="J12" s="49"/>
      <c r="K12" s="49"/>
      <c r="L12" s="49"/>
      <c r="M12" s="49"/>
    </row>
    <row r="13" spans="1:14" s="4" customFormat="1">
      <c r="B13" s="4" t="s">
        <v>102</v>
      </c>
      <c r="C13" s="5"/>
      <c r="D13" s="49"/>
      <c r="E13" s="49"/>
      <c r="F13" s="49"/>
      <c r="G13" s="49"/>
      <c r="H13" s="49"/>
      <c r="I13" s="49"/>
      <c r="J13" s="49"/>
      <c r="K13" s="49"/>
      <c r="L13" s="49"/>
      <c r="M13" s="49"/>
    </row>
    <row r="14" spans="1:14" s="26" customFormat="1">
      <c r="A14" s="26" t="s">
        <v>4</v>
      </c>
      <c r="C14" s="78"/>
      <c r="D14" s="60">
        <f t="shared" ref="D14:M14" si="4">D11-D12-D13</f>
        <v>266900</v>
      </c>
      <c r="E14" s="60">
        <f t="shared" si="4"/>
        <v>231200</v>
      </c>
      <c r="F14" s="60">
        <f t="shared" si="4"/>
        <v>355941</v>
      </c>
      <c r="G14" s="60">
        <f t="shared" si="4"/>
        <v>438163</v>
      </c>
      <c r="H14" s="60">
        <f t="shared" si="4"/>
        <v>462724</v>
      </c>
      <c r="I14" s="60">
        <f t="shared" si="4"/>
        <v>517430</v>
      </c>
      <c r="J14" s="60">
        <f t="shared" si="4"/>
        <v>943649</v>
      </c>
      <c r="K14" s="60">
        <f t="shared" si="4"/>
        <v>1386416</v>
      </c>
      <c r="L14" s="60">
        <f t="shared" si="4"/>
        <v>2769895</v>
      </c>
      <c r="M14" s="60">
        <f t="shared" si="4"/>
        <v>5382822</v>
      </c>
    </row>
    <row r="15" spans="1:14" s="4" customFormat="1">
      <c r="B15" s="4" t="s">
        <v>112</v>
      </c>
      <c r="C15" s="2"/>
      <c r="D15" s="77">
        <f>Debt!D15</f>
        <v>43.1</v>
      </c>
      <c r="E15" s="77">
        <f>Debt!E15</f>
        <v>43.1</v>
      </c>
      <c r="F15" s="77">
        <f>Debt!F15</f>
        <v>43.1</v>
      </c>
      <c r="G15" s="77">
        <f>Debt!G15</f>
        <v>43.1</v>
      </c>
      <c r="H15" s="77">
        <f>Debt!H15</f>
        <v>43.1</v>
      </c>
      <c r="I15" s="77">
        <f>Debt!I15</f>
        <v>43.1</v>
      </c>
      <c r="J15" s="77">
        <f>Debt!J15</f>
        <v>43.1</v>
      </c>
      <c r="K15" s="77">
        <f>Debt!K15</f>
        <v>43.1</v>
      </c>
      <c r="L15" s="77">
        <f>Debt!L15</f>
        <v>43.1</v>
      </c>
      <c r="M15" s="77">
        <f>Debt!M15</f>
        <v>43.1</v>
      </c>
    </row>
    <row r="16" spans="1:14" s="26" customFormat="1">
      <c r="A16" s="26" t="s">
        <v>59</v>
      </c>
      <c r="C16" s="55"/>
      <c r="D16" s="80">
        <f t="shared" ref="D16:M16" si="5">D14-D15</f>
        <v>266856.90000000002</v>
      </c>
      <c r="E16" s="80">
        <f t="shared" si="5"/>
        <v>231156.9</v>
      </c>
      <c r="F16" s="80">
        <f t="shared" si="5"/>
        <v>355897.9</v>
      </c>
      <c r="G16" s="80">
        <f t="shared" si="5"/>
        <v>438119.9</v>
      </c>
      <c r="H16" s="80">
        <f t="shared" si="5"/>
        <v>462680.9</v>
      </c>
      <c r="I16" s="80">
        <f t="shared" si="5"/>
        <v>517386.9</v>
      </c>
      <c r="J16" s="80">
        <f t="shared" si="5"/>
        <v>943605.9</v>
      </c>
      <c r="K16" s="80">
        <f t="shared" si="5"/>
        <v>1386372.9</v>
      </c>
      <c r="L16" s="80">
        <f t="shared" si="5"/>
        <v>2769851.9</v>
      </c>
      <c r="M16" s="80">
        <f t="shared" si="5"/>
        <v>5382778.9000000004</v>
      </c>
    </row>
    <row r="17" spans="1:16" s="4" customFormat="1">
      <c r="B17" s="4" t="s">
        <v>66</v>
      </c>
      <c r="C17" s="167">
        <v>0.4</v>
      </c>
      <c r="D17" s="77">
        <f t="shared" ref="D17:M17" si="6">$C17*D16</f>
        <v>106742.76000000001</v>
      </c>
      <c r="E17" s="77">
        <f t="shared" si="6"/>
        <v>92462.760000000009</v>
      </c>
      <c r="F17" s="77">
        <f t="shared" si="6"/>
        <v>142359.16</v>
      </c>
      <c r="G17" s="77">
        <f t="shared" si="6"/>
        <v>175247.96000000002</v>
      </c>
      <c r="H17" s="77">
        <f t="shared" si="6"/>
        <v>185072.36000000002</v>
      </c>
      <c r="I17" s="77">
        <f t="shared" si="6"/>
        <v>206954.76</v>
      </c>
      <c r="J17" s="77">
        <f t="shared" si="6"/>
        <v>377442.36000000004</v>
      </c>
      <c r="K17" s="77">
        <f t="shared" si="6"/>
        <v>554549.16</v>
      </c>
      <c r="L17" s="77">
        <f t="shared" si="6"/>
        <v>1107940.76</v>
      </c>
      <c r="M17" s="77">
        <f t="shared" si="6"/>
        <v>2153111.56</v>
      </c>
    </row>
    <row r="18" spans="1:16" s="26" customFormat="1" ht="15.75" thickBot="1">
      <c r="A18" s="169" t="s">
        <v>22</v>
      </c>
      <c r="B18" s="169"/>
      <c r="C18" s="170"/>
      <c r="D18" s="171">
        <f t="shared" ref="D18:M18" si="7">D16-D17</f>
        <v>160114.14000000001</v>
      </c>
      <c r="E18" s="171">
        <f t="shared" si="7"/>
        <v>138694.13999999998</v>
      </c>
      <c r="F18" s="171">
        <f t="shared" si="7"/>
        <v>213538.74000000002</v>
      </c>
      <c r="G18" s="171">
        <f t="shared" si="7"/>
        <v>262871.94</v>
      </c>
      <c r="H18" s="171">
        <f t="shared" si="7"/>
        <v>277608.54000000004</v>
      </c>
      <c r="I18" s="171">
        <f t="shared" si="7"/>
        <v>310432.14</v>
      </c>
      <c r="J18" s="171">
        <f t="shared" si="7"/>
        <v>566163.54</v>
      </c>
      <c r="K18" s="171">
        <f t="shared" si="7"/>
        <v>831823.73999999987</v>
      </c>
      <c r="L18" s="171">
        <f t="shared" si="7"/>
        <v>1661911.14</v>
      </c>
      <c r="M18" s="171">
        <f t="shared" si="7"/>
        <v>3229667.3400000003</v>
      </c>
    </row>
    <row r="19" spans="1:16" ht="15.75" thickTop="1">
      <c r="B19" t="s">
        <v>29</v>
      </c>
      <c r="D19" s="168">
        <v>100</v>
      </c>
      <c r="E19" s="168">
        <v>200</v>
      </c>
      <c r="F19" s="168">
        <v>300</v>
      </c>
      <c r="G19" s="168">
        <v>400</v>
      </c>
      <c r="H19" s="168">
        <v>500</v>
      </c>
      <c r="I19" s="168">
        <v>600</v>
      </c>
      <c r="J19" s="168">
        <v>700</v>
      </c>
      <c r="K19" s="168">
        <v>800</v>
      </c>
      <c r="L19" s="168">
        <v>900</v>
      </c>
      <c r="M19" s="168">
        <v>1000</v>
      </c>
      <c r="N19" s="26"/>
    </row>
    <row r="20" spans="1:16">
      <c r="B20" t="s">
        <v>56</v>
      </c>
      <c r="D20" s="36">
        <f t="shared" ref="D20:M20" si="8">D18-D19</f>
        <v>160014.14000000001</v>
      </c>
      <c r="E20" s="36">
        <f t="shared" si="8"/>
        <v>138494.13999999998</v>
      </c>
      <c r="F20" s="36">
        <f t="shared" si="8"/>
        <v>213238.74000000002</v>
      </c>
      <c r="G20" s="36">
        <f t="shared" si="8"/>
        <v>262471.94</v>
      </c>
      <c r="H20" s="36">
        <f t="shared" si="8"/>
        <v>277108.54000000004</v>
      </c>
      <c r="I20" s="36">
        <f t="shared" si="8"/>
        <v>309832.14</v>
      </c>
      <c r="J20" s="36">
        <f t="shared" si="8"/>
        <v>565463.54</v>
      </c>
      <c r="K20" s="36">
        <f t="shared" si="8"/>
        <v>831023.73999999987</v>
      </c>
      <c r="L20" s="36">
        <f t="shared" si="8"/>
        <v>1661011.14</v>
      </c>
      <c r="M20" s="36">
        <f t="shared" si="8"/>
        <v>3228667.3400000003</v>
      </c>
      <c r="N20" s="26"/>
    </row>
    <row r="21" spans="1:16" s="4" customFormat="1" ht="8.25" customHeight="1" thickBot="1">
      <c r="A21" s="40"/>
      <c r="B21" s="40"/>
      <c r="C21" s="41"/>
      <c r="D21" s="42"/>
      <c r="E21" s="42"/>
      <c r="F21" s="42"/>
      <c r="G21" s="42"/>
      <c r="H21" s="42"/>
      <c r="I21" s="42"/>
      <c r="J21" s="42"/>
      <c r="K21" s="42"/>
      <c r="L21" s="42"/>
      <c r="M21" s="42"/>
    </row>
    <row r="22" spans="1:16" s="4" customFormat="1" ht="8.25" customHeight="1" thickTop="1">
      <c r="C22" s="3"/>
      <c r="D22" s="10"/>
      <c r="E22" s="10"/>
      <c r="F22" s="10"/>
      <c r="G22" s="10"/>
      <c r="H22" s="10"/>
      <c r="I22" s="10"/>
      <c r="J22" s="10"/>
      <c r="K22" s="10"/>
      <c r="L22" s="10"/>
      <c r="M22" s="10"/>
      <c r="O22" s="97"/>
      <c r="P22" s="97"/>
    </row>
    <row r="23" spans="1:16" s="26" customFormat="1">
      <c r="A23" s="26" t="s">
        <v>5</v>
      </c>
      <c r="C23" s="78"/>
      <c r="D23" s="60">
        <f t="shared" ref="D23:M23" si="9">D14*(1-$C$17)</f>
        <v>160140</v>
      </c>
      <c r="E23" s="60">
        <f t="shared" si="9"/>
        <v>138720</v>
      </c>
      <c r="F23" s="60">
        <f t="shared" si="9"/>
        <v>213564.6</v>
      </c>
      <c r="G23" s="60">
        <f t="shared" si="9"/>
        <v>262897.8</v>
      </c>
      <c r="H23" s="60">
        <f t="shared" si="9"/>
        <v>277634.39999999997</v>
      </c>
      <c r="I23" s="60">
        <f t="shared" si="9"/>
        <v>310458</v>
      </c>
      <c r="J23" s="60">
        <f t="shared" si="9"/>
        <v>566189.4</v>
      </c>
      <c r="K23" s="60">
        <f t="shared" si="9"/>
        <v>831849.6</v>
      </c>
      <c r="L23" s="60">
        <f t="shared" si="9"/>
        <v>1661937</v>
      </c>
      <c r="M23" s="60">
        <f t="shared" si="9"/>
        <v>3229693.1999999997</v>
      </c>
      <c r="O23" s="99"/>
      <c r="P23" s="99"/>
    </row>
    <row r="24" spans="1:16" s="4" customFormat="1">
      <c r="B24" s="84" t="s">
        <v>131</v>
      </c>
      <c r="C24" s="5"/>
      <c r="D24" s="36">
        <f>SUM(BalSheet!C8,BalSheet!C11)-SUM(BalSheet!D8,BalSheet!D11)</f>
        <v>-32500</v>
      </c>
      <c r="E24" s="36">
        <f>SUM(BalSheet!D8,BalSheet!D11)-SUM(BalSheet!E8,BalSheet!E11)</f>
        <v>0</v>
      </c>
      <c r="F24" s="36">
        <f>SUM(BalSheet!E8,BalSheet!E11)-SUM(BalSheet!F8,BalSheet!F11)</f>
        <v>0</v>
      </c>
      <c r="G24" s="36">
        <f>SUM(BalSheet!F8,BalSheet!F11)-SUM(BalSheet!G8,BalSheet!G11)</f>
        <v>0</v>
      </c>
      <c r="H24" s="36">
        <f>SUM(BalSheet!G8,BalSheet!G11)-SUM(BalSheet!H8,BalSheet!H11)</f>
        <v>0</v>
      </c>
      <c r="I24" s="36">
        <f>SUM(BalSheet!H8,BalSheet!H11)-SUM(BalSheet!I8,BalSheet!I11)</f>
        <v>0</v>
      </c>
      <c r="J24" s="36">
        <f>SUM(BalSheet!I8,BalSheet!I11)-SUM(BalSheet!J8,BalSheet!J11)</f>
        <v>0</v>
      </c>
      <c r="K24" s="36">
        <f>SUM(BalSheet!J8,BalSheet!J11)-SUM(BalSheet!K8,BalSheet!K11)</f>
        <v>0</v>
      </c>
      <c r="L24" s="36">
        <f>SUM(BalSheet!K8,BalSheet!K11)-SUM(BalSheet!L8,BalSheet!L11)</f>
        <v>0</v>
      </c>
      <c r="M24" s="36">
        <f>SUM(BalSheet!L8,BalSheet!L11)-SUM(BalSheet!M8,BalSheet!M11)</f>
        <v>0</v>
      </c>
      <c r="N24" s="36"/>
    </row>
    <row r="25" spans="1:16" s="9" customFormat="1">
      <c r="B25" s="85" t="s">
        <v>61</v>
      </c>
      <c r="C25" s="79"/>
      <c r="D25" s="77">
        <f>BalSheet!C34-BalSheet!D34</f>
        <v>-158214.14000000001</v>
      </c>
      <c r="E25" s="77">
        <f>BalSheet!D34-BalSheet!E34</f>
        <v>-138504.14000000001</v>
      </c>
      <c r="F25" s="77">
        <f>BalSheet!E34-BalSheet!F34</f>
        <v>-213248.74</v>
      </c>
      <c r="G25" s="77">
        <f>BalSheet!F34-BalSheet!G34</f>
        <v>-262481.93999999994</v>
      </c>
      <c r="H25" s="77">
        <f>BalSheet!G34-BalSheet!H34</f>
        <v>-277118.54000000004</v>
      </c>
      <c r="I25" s="77">
        <f>BalSheet!H34-BalSheet!I34</f>
        <v>-309842.14000000013</v>
      </c>
      <c r="J25" s="77">
        <f>BalSheet!I34-BalSheet!J34</f>
        <v>-565473.54</v>
      </c>
      <c r="K25" s="77">
        <f>BalSheet!J34-BalSheet!K34</f>
        <v>-831033.73999999976</v>
      </c>
      <c r="L25" s="77">
        <f>BalSheet!K34-BalSheet!L34</f>
        <v>-1661021.1399999997</v>
      </c>
      <c r="M25" s="77">
        <f>BalSheet!L34-BalSheet!M34</f>
        <v>-3228677.3400000008</v>
      </c>
      <c r="N25" s="77"/>
    </row>
    <row r="26" spans="1:16" s="26" customFormat="1">
      <c r="A26" s="26" t="s">
        <v>58</v>
      </c>
      <c r="C26" s="81"/>
      <c r="D26" s="60">
        <f t="shared" ref="D26:M26" si="10">SUM(D23,D24,D25)</f>
        <v>-30574.140000000014</v>
      </c>
      <c r="E26" s="60">
        <f t="shared" si="10"/>
        <v>215.85999999998603</v>
      </c>
      <c r="F26" s="60">
        <f t="shared" si="10"/>
        <v>315.86000000001513</v>
      </c>
      <c r="G26" s="60">
        <f t="shared" si="10"/>
        <v>415.86000000004424</v>
      </c>
      <c r="H26" s="60">
        <f t="shared" si="10"/>
        <v>515.85999999992782</v>
      </c>
      <c r="I26" s="60">
        <f t="shared" si="10"/>
        <v>615.85999999986961</v>
      </c>
      <c r="J26" s="60">
        <f t="shared" si="10"/>
        <v>715.85999999998603</v>
      </c>
      <c r="K26" s="60">
        <f t="shared" si="10"/>
        <v>815.86000000021886</v>
      </c>
      <c r="L26" s="60">
        <f t="shared" si="10"/>
        <v>915.86000000033528</v>
      </c>
      <c r="M26" s="60">
        <f t="shared" si="10"/>
        <v>1015.8599999989383</v>
      </c>
      <c r="N26" s="60"/>
    </row>
    <row r="27" spans="1:16" s="10" customFormat="1">
      <c r="B27" s="4" t="s">
        <v>6</v>
      </c>
      <c r="C27" s="50">
        <v>0.25</v>
      </c>
      <c r="D27" s="151">
        <f t="shared" ref="D27:M27" si="11">D26/(1+$C$27)^(D1-1)</f>
        <v>-30574.140000000014</v>
      </c>
      <c r="E27" s="152">
        <f t="shared" si="11"/>
        <v>172.68799999998882</v>
      </c>
      <c r="F27" s="152">
        <f t="shared" si="11"/>
        <v>202.15040000000968</v>
      </c>
      <c r="G27" s="152">
        <f t="shared" si="11"/>
        <v>212.92032000002266</v>
      </c>
      <c r="H27" s="152">
        <f t="shared" si="11"/>
        <v>211.29625599997044</v>
      </c>
      <c r="I27" s="152">
        <f t="shared" si="11"/>
        <v>201.80500479995729</v>
      </c>
      <c r="J27" s="152">
        <f t="shared" si="11"/>
        <v>187.65840383999634</v>
      </c>
      <c r="K27" s="152">
        <f t="shared" si="11"/>
        <v>171.0982430720459</v>
      </c>
      <c r="L27" s="152">
        <f t="shared" si="11"/>
        <v>153.65581045765626</v>
      </c>
      <c r="M27" s="153">
        <f t="shared" si="11"/>
        <v>136.3464211659375</v>
      </c>
    </row>
    <row r="28" spans="1:16" s="10" customFormat="1">
      <c r="B28" s="10" t="s">
        <v>114</v>
      </c>
      <c r="C28" s="82">
        <v>5.0000000000000001E-3</v>
      </c>
      <c r="D28" s="154"/>
      <c r="E28" s="155"/>
      <c r="F28" s="155"/>
      <c r="G28" s="155"/>
      <c r="H28" s="155"/>
      <c r="I28" s="155"/>
      <c r="J28" s="155"/>
      <c r="K28" s="155"/>
      <c r="L28" s="155"/>
      <c r="M28" s="156">
        <f>(M26*(1+$C$28)/(C27-C28))   /   (1+$C$27)^(M1-1)</f>
        <v>559.2985847827232</v>
      </c>
    </row>
    <row r="29" spans="1:16" s="10" customFormat="1">
      <c r="A29" s="10" t="s">
        <v>7</v>
      </c>
      <c r="D29" s="150">
        <f>SUM(D27:M28)</f>
        <v>-28365.222555881708</v>
      </c>
      <c r="O29" s="96"/>
      <c r="P29" s="96"/>
    </row>
  </sheetData>
  <sheetProtection algorithmName="SHA-512" hashValue="h03HE0kqQnb3w4dd4yvjz927ieZVpZLMGb3+6XKZR/HFmJgII8dPWx+Usg062+3H0BqALA2c9tFb7R58fmRw7Q==" saltValue="WObOhyBnNU6E95B0Z6IwdQ==" spinCount="100000" sheet="1" objects="1" scenarios="1"/>
  <pageMargins left="0.7" right="0.7" top="0.75" bottom="0.75" header="0.3" footer="0.3"/>
  <pageSetup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008000"/>
  </sheetPr>
  <dimension ref="A1:M35"/>
  <sheetViews>
    <sheetView showGridLines="0" zoomScaleNormal="100" workbookViewId="0">
      <pane xSplit="2" ySplit="1" topLeftCell="C2" activePane="bottomRight" state="frozenSplit"/>
      <selection activeCell="Q16" sqref="Q16"/>
      <selection pane="topRight" activeCell="Q16" sqref="Q16"/>
      <selection pane="bottomLeft" activeCell="Q16" sqref="Q16"/>
      <selection pane="bottomRight"/>
    </sheetView>
  </sheetViews>
  <sheetFormatPr defaultRowHeight="15"/>
  <cols>
    <col min="1" max="1" width="4.28515625" customWidth="1"/>
    <col min="2" max="2" width="23.7109375" bestFit="1" customWidth="1"/>
    <col min="3" max="3" width="8" style="2" customWidth="1"/>
    <col min="4" max="13" width="10.85546875" style="13" bestFit="1" customWidth="1"/>
  </cols>
  <sheetData>
    <row r="1" spans="1:13" ht="16.5" thickBot="1">
      <c r="A1" s="93" t="s">
        <v>49</v>
      </c>
      <c r="C1" s="87" t="s">
        <v>51</v>
      </c>
      <c r="D1" s="94">
        <v>1</v>
      </c>
      <c r="E1" s="94">
        <v>2</v>
      </c>
      <c r="F1" s="94">
        <v>3</v>
      </c>
      <c r="G1" s="94">
        <v>4</v>
      </c>
      <c r="H1" s="94">
        <v>5</v>
      </c>
      <c r="I1" s="94">
        <v>6</v>
      </c>
      <c r="J1" s="94">
        <v>7</v>
      </c>
      <c r="K1" s="94">
        <v>8</v>
      </c>
      <c r="L1" s="94">
        <v>9</v>
      </c>
      <c r="M1" s="94">
        <v>10</v>
      </c>
    </row>
    <row r="2" spans="1:13" ht="8.25" customHeight="1">
      <c r="C2"/>
      <c r="D2"/>
      <c r="E2"/>
      <c r="F2"/>
      <c r="G2"/>
      <c r="H2"/>
      <c r="I2"/>
      <c r="J2"/>
      <c r="K2"/>
      <c r="L2"/>
      <c r="M2"/>
    </row>
    <row r="3" spans="1:13" s="14" customFormat="1">
      <c r="A3" s="1" t="s">
        <v>8</v>
      </c>
      <c r="C3" s="39"/>
      <c r="D3" s="28"/>
      <c r="E3" s="28"/>
      <c r="F3" s="28"/>
      <c r="G3" s="28"/>
      <c r="H3" s="28"/>
      <c r="I3" s="28"/>
      <c r="J3" s="28"/>
      <c r="K3" s="28"/>
      <c r="L3" s="28"/>
      <c r="M3" s="28"/>
    </row>
    <row r="4" spans="1:13" s="14" customFormat="1">
      <c r="B4" s="37" t="s">
        <v>89</v>
      </c>
      <c r="C4" s="86">
        <v>0</v>
      </c>
      <c r="D4" s="52">
        <f t="shared" ref="D4:M4" si="0">D31-SUM(D14,D13,D10,D6,D5)</f>
        <v>168014.14</v>
      </c>
      <c r="E4" s="52">
        <f t="shared" si="0"/>
        <v>306518.28000000003</v>
      </c>
      <c r="F4" s="52">
        <f t="shared" si="0"/>
        <v>519767.02</v>
      </c>
      <c r="G4" s="52">
        <f t="shared" si="0"/>
        <v>782248.95999999996</v>
      </c>
      <c r="H4" s="52">
        <f t="shared" si="0"/>
        <v>1059367.5</v>
      </c>
      <c r="I4" s="52">
        <f t="shared" si="0"/>
        <v>1369209.6400000001</v>
      </c>
      <c r="J4" s="52">
        <f t="shared" si="0"/>
        <v>1934683.1800000002</v>
      </c>
      <c r="K4" s="52">
        <f t="shared" si="0"/>
        <v>2765716.92</v>
      </c>
      <c r="L4" s="52">
        <f t="shared" si="0"/>
        <v>4426738.0599999996</v>
      </c>
      <c r="M4" s="52">
        <f t="shared" si="0"/>
        <v>7655415.4000000004</v>
      </c>
    </row>
    <row r="5" spans="1:13" s="14" customFormat="1">
      <c r="B5" s="37" t="s">
        <v>45</v>
      </c>
      <c r="C5" s="51"/>
      <c r="D5" s="86">
        <v>1000</v>
      </c>
      <c r="E5" s="86">
        <f>D5</f>
        <v>1000</v>
      </c>
      <c r="F5" s="86">
        <f t="shared" ref="F5:M5" si="1">E5</f>
        <v>1000</v>
      </c>
      <c r="G5" s="86">
        <f t="shared" si="1"/>
        <v>1000</v>
      </c>
      <c r="H5" s="86">
        <f t="shared" si="1"/>
        <v>1000</v>
      </c>
      <c r="I5" s="86">
        <f t="shared" si="1"/>
        <v>1000</v>
      </c>
      <c r="J5" s="86">
        <f t="shared" si="1"/>
        <v>1000</v>
      </c>
      <c r="K5" s="86">
        <f t="shared" si="1"/>
        <v>1000</v>
      </c>
      <c r="L5" s="86">
        <f t="shared" si="1"/>
        <v>1000</v>
      </c>
      <c r="M5" s="86">
        <f t="shared" si="1"/>
        <v>1000</v>
      </c>
    </row>
    <row r="6" spans="1:13" s="30" customFormat="1">
      <c r="B6" s="38" t="s">
        <v>9</v>
      </c>
      <c r="C6" s="125"/>
      <c r="D6" s="83">
        <v>2000</v>
      </c>
      <c r="E6" s="86">
        <f>D6</f>
        <v>2000</v>
      </c>
      <c r="F6" s="86">
        <f t="shared" ref="F6:M6" si="2">E6</f>
        <v>2000</v>
      </c>
      <c r="G6" s="86">
        <f t="shared" si="2"/>
        <v>2000</v>
      </c>
      <c r="H6" s="86">
        <f t="shared" si="2"/>
        <v>2000</v>
      </c>
      <c r="I6" s="86">
        <f t="shared" si="2"/>
        <v>2000</v>
      </c>
      <c r="J6" s="86">
        <f t="shared" si="2"/>
        <v>2000</v>
      </c>
      <c r="K6" s="86">
        <f t="shared" si="2"/>
        <v>2000</v>
      </c>
      <c r="L6" s="86">
        <f t="shared" si="2"/>
        <v>2000</v>
      </c>
      <c r="M6" s="86">
        <f t="shared" si="2"/>
        <v>2000</v>
      </c>
    </row>
    <row r="7" spans="1:13" s="1" customFormat="1">
      <c r="B7" s="1" t="s">
        <v>96</v>
      </c>
      <c r="D7" s="121">
        <f>SUM(D4:D6)</f>
        <v>171014.14</v>
      </c>
      <c r="E7" s="121">
        <f t="shared" ref="E7:M7" si="3">SUM(E4:E6)</f>
        <v>309518.28000000003</v>
      </c>
      <c r="F7" s="121">
        <f t="shared" si="3"/>
        <v>522767.02</v>
      </c>
      <c r="G7" s="121">
        <f t="shared" si="3"/>
        <v>785248.96</v>
      </c>
      <c r="H7" s="121">
        <f t="shared" si="3"/>
        <v>1062367.5</v>
      </c>
      <c r="I7" s="121">
        <f t="shared" si="3"/>
        <v>1372209.6400000001</v>
      </c>
      <c r="J7" s="121">
        <f t="shared" si="3"/>
        <v>1937683.1800000002</v>
      </c>
      <c r="K7" s="121">
        <f t="shared" si="3"/>
        <v>2768716.92</v>
      </c>
      <c r="L7" s="121">
        <f t="shared" si="3"/>
        <v>4429738.0599999996</v>
      </c>
      <c r="M7" s="121">
        <f t="shared" si="3"/>
        <v>7658415.4000000004</v>
      </c>
    </row>
    <row r="8" spans="1:13" s="14" customFormat="1">
      <c r="B8" s="37" t="s">
        <v>104</v>
      </c>
      <c r="C8" s="125"/>
      <c r="D8" s="86">
        <v>22500</v>
      </c>
      <c r="E8" s="86">
        <f>D8</f>
        <v>22500</v>
      </c>
      <c r="F8" s="86">
        <f t="shared" ref="F8:M8" si="4">E8</f>
        <v>22500</v>
      </c>
      <c r="G8" s="86">
        <f t="shared" si="4"/>
        <v>22500</v>
      </c>
      <c r="H8" s="86">
        <f t="shared" si="4"/>
        <v>22500</v>
      </c>
      <c r="I8" s="86">
        <f t="shared" si="4"/>
        <v>22500</v>
      </c>
      <c r="J8" s="86">
        <f t="shared" si="4"/>
        <v>22500</v>
      </c>
      <c r="K8" s="86">
        <f t="shared" si="4"/>
        <v>22500</v>
      </c>
      <c r="L8" s="86">
        <f t="shared" si="4"/>
        <v>22500</v>
      </c>
      <c r="M8" s="86">
        <f t="shared" si="4"/>
        <v>22500</v>
      </c>
    </row>
    <row r="9" spans="1:13" s="14" customFormat="1">
      <c r="B9" s="38" t="s">
        <v>101</v>
      </c>
      <c r="C9" s="86">
        <v>0</v>
      </c>
      <c r="D9" s="52">
        <f>C9+'P&amp;L'!D12</f>
        <v>0</v>
      </c>
      <c r="E9" s="52">
        <f>D9+'P&amp;L'!E12</f>
        <v>0</v>
      </c>
      <c r="F9" s="52">
        <f>E9+'P&amp;L'!F12</f>
        <v>0</v>
      </c>
      <c r="G9" s="52">
        <f>F9+'P&amp;L'!G12</f>
        <v>0</v>
      </c>
      <c r="H9" s="52">
        <f>G9+'P&amp;L'!H12</f>
        <v>0</v>
      </c>
      <c r="I9" s="52">
        <f>H9+'P&amp;L'!I12</f>
        <v>0</v>
      </c>
      <c r="J9" s="52">
        <f>I9+'P&amp;L'!J12</f>
        <v>0</v>
      </c>
      <c r="K9" s="52">
        <f>J9+'P&amp;L'!K12</f>
        <v>0</v>
      </c>
      <c r="L9" s="52">
        <f>K9+'P&amp;L'!L12</f>
        <v>0</v>
      </c>
      <c r="M9" s="52">
        <f>L9+'P&amp;L'!M12</f>
        <v>0</v>
      </c>
    </row>
    <row r="10" spans="1:13" s="31" customFormat="1">
      <c r="B10" s="128" t="s">
        <v>10</v>
      </c>
      <c r="C10" s="129"/>
      <c r="D10" s="53">
        <f>D8-D9</f>
        <v>22500</v>
      </c>
      <c r="E10" s="53">
        <f t="shared" ref="E10:M10" si="5">E8-E9</f>
        <v>22500</v>
      </c>
      <c r="F10" s="53">
        <f t="shared" si="5"/>
        <v>22500</v>
      </c>
      <c r="G10" s="53">
        <f t="shared" si="5"/>
        <v>22500</v>
      </c>
      <c r="H10" s="53">
        <f t="shared" si="5"/>
        <v>22500</v>
      </c>
      <c r="I10" s="53">
        <f t="shared" si="5"/>
        <v>22500</v>
      </c>
      <c r="J10" s="53">
        <f t="shared" si="5"/>
        <v>22500</v>
      </c>
      <c r="K10" s="53">
        <f t="shared" si="5"/>
        <v>22500</v>
      </c>
      <c r="L10" s="53">
        <f t="shared" si="5"/>
        <v>22500</v>
      </c>
      <c r="M10" s="53">
        <f t="shared" si="5"/>
        <v>22500</v>
      </c>
    </row>
    <row r="11" spans="1:13" s="14" customFormat="1">
      <c r="B11" s="37" t="s">
        <v>97</v>
      </c>
      <c r="C11" s="51"/>
      <c r="D11" s="86">
        <v>10000</v>
      </c>
      <c r="E11" s="86">
        <f>D11</f>
        <v>10000</v>
      </c>
      <c r="F11" s="86">
        <f t="shared" ref="F11:M11" si="6">E11</f>
        <v>10000</v>
      </c>
      <c r="G11" s="86">
        <f t="shared" si="6"/>
        <v>10000</v>
      </c>
      <c r="H11" s="86">
        <f t="shared" si="6"/>
        <v>10000</v>
      </c>
      <c r="I11" s="86">
        <f t="shared" si="6"/>
        <v>10000</v>
      </c>
      <c r="J11" s="86">
        <f t="shared" si="6"/>
        <v>10000</v>
      </c>
      <c r="K11" s="86">
        <f t="shared" si="6"/>
        <v>10000</v>
      </c>
      <c r="L11" s="86">
        <f t="shared" si="6"/>
        <v>10000</v>
      </c>
      <c r="M11" s="86">
        <f t="shared" si="6"/>
        <v>10000</v>
      </c>
    </row>
    <row r="12" spans="1:13" s="14" customFormat="1">
      <c r="B12" s="38" t="s">
        <v>105</v>
      </c>
      <c r="C12" s="86">
        <v>0</v>
      </c>
      <c r="D12" s="52">
        <f>C12+'P&amp;L'!D13</f>
        <v>0</v>
      </c>
      <c r="E12" s="52">
        <f>D12+'P&amp;L'!E13</f>
        <v>0</v>
      </c>
      <c r="F12" s="52">
        <f>E12+'P&amp;L'!F13</f>
        <v>0</v>
      </c>
      <c r="G12" s="52">
        <f>F12+'P&amp;L'!G13</f>
        <v>0</v>
      </c>
      <c r="H12" s="52">
        <f>G12+'P&amp;L'!H13</f>
        <v>0</v>
      </c>
      <c r="I12" s="52">
        <f>H12+'P&amp;L'!I13</f>
        <v>0</v>
      </c>
      <c r="J12" s="52">
        <f>I12+'P&amp;L'!J13</f>
        <v>0</v>
      </c>
      <c r="K12" s="52">
        <f>J12+'P&amp;L'!K13</f>
        <v>0</v>
      </c>
      <c r="L12" s="52">
        <f>K12+'P&amp;L'!L13</f>
        <v>0</v>
      </c>
      <c r="M12" s="52">
        <f>L12+'P&amp;L'!M13</f>
        <v>0</v>
      </c>
    </row>
    <row r="13" spans="1:13" s="1" customFormat="1">
      <c r="A13" s="31"/>
      <c r="B13" s="128" t="s">
        <v>98</v>
      </c>
      <c r="C13" s="129"/>
      <c r="D13" s="53">
        <f>D11-D12</f>
        <v>10000</v>
      </c>
      <c r="E13" s="53">
        <f t="shared" ref="E13" si="7">E11-E12</f>
        <v>10000</v>
      </c>
      <c r="F13" s="53">
        <f t="shared" ref="F13" si="8">F11-F12</f>
        <v>10000</v>
      </c>
      <c r="G13" s="53">
        <f t="shared" ref="G13" si="9">G11-G12</f>
        <v>10000</v>
      </c>
      <c r="H13" s="53">
        <f t="shared" ref="H13" si="10">H11-H12</f>
        <v>10000</v>
      </c>
      <c r="I13" s="53">
        <f t="shared" ref="I13" si="11">I11-I12</f>
        <v>10000</v>
      </c>
      <c r="J13" s="53">
        <f t="shared" ref="J13" si="12">J11-J12</f>
        <v>10000</v>
      </c>
      <c r="K13" s="53">
        <f t="shared" ref="K13" si="13">K11-K12</f>
        <v>10000</v>
      </c>
      <c r="L13" s="53">
        <f t="shared" ref="L13" si="14">L11-L12</f>
        <v>10000</v>
      </c>
      <c r="M13" s="53">
        <f t="shared" ref="M13" si="15">M11-M12</f>
        <v>10000</v>
      </c>
    </row>
    <row r="14" spans="1:13" s="14" customFormat="1">
      <c r="A14" s="29"/>
      <c r="B14" s="115" t="s">
        <v>106</v>
      </c>
      <c r="C14" s="51"/>
      <c r="D14" s="86">
        <v>10</v>
      </c>
      <c r="E14" s="86">
        <f>D14</f>
        <v>10</v>
      </c>
      <c r="F14" s="86">
        <f t="shared" ref="F14:M14" si="16">E14</f>
        <v>10</v>
      </c>
      <c r="G14" s="86">
        <f t="shared" si="16"/>
        <v>10</v>
      </c>
      <c r="H14" s="86">
        <f t="shared" si="16"/>
        <v>10</v>
      </c>
      <c r="I14" s="86">
        <f t="shared" si="16"/>
        <v>10</v>
      </c>
      <c r="J14" s="86">
        <f t="shared" si="16"/>
        <v>10</v>
      </c>
      <c r="K14" s="86">
        <f t="shared" si="16"/>
        <v>10</v>
      </c>
      <c r="L14" s="86">
        <f t="shared" si="16"/>
        <v>10</v>
      </c>
      <c r="M14" s="86">
        <f t="shared" si="16"/>
        <v>10</v>
      </c>
    </row>
    <row r="15" spans="1:13" s="31" customFormat="1">
      <c r="A15" s="172" t="s">
        <v>11</v>
      </c>
      <c r="B15" s="172"/>
      <c r="C15" s="173"/>
      <c r="D15" s="174">
        <f>SUM(D7,D10,D13,D14)</f>
        <v>203524.14</v>
      </c>
      <c r="E15" s="174">
        <f t="shared" ref="E15:M15" si="17">SUM(E7,E10,E13,E14)</f>
        <v>342028.28</v>
      </c>
      <c r="F15" s="174">
        <f t="shared" si="17"/>
        <v>555277.02</v>
      </c>
      <c r="G15" s="174">
        <f t="shared" si="17"/>
        <v>817758.96</v>
      </c>
      <c r="H15" s="174">
        <f t="shared" si="17"/>
        <v>1094877.5</v>
      </c>
      <c r="I15" s="174">
        <f t="shared" si="17"/>
        <v>1404719.6400000001</v>
      </c>
      <c r="J15" s="174">
        <f t="shared" si="17"/>
        <v>1970193.1800000002</v>
      </c>
      <c r="K15" s="174">
        <f t="shared" si="17"/>
        <v>2801226.92</v>
      </c>
      <c r="L15" s="174">
        <f t="shared" si="17"/>
        <v>4462248.0599999996</v>
      </c>
      <c r="M15" s="174">
        <f t="shared" si="17"/>
        <v>7690925.4000000004</v>
      </c>
    </row>
    <row r="16" spans="1:13" s="4" customFormat="1" ht="8.25" customHeight="1" thickBot="1">
      <c r="A16" s="40"/>
      <c r="B16" s="40"/>
      <c r="C16" s="41"/>
      <c r="D16" s="42"/>
      <c r="E16" s="42"/>
      <c r="F16" s="42"/>
      <c r="G16" s="42"/>
      <c r="H16" s="42"/>
      <c r="I16" s="42"/>
      <c r="J16" s="42"/>
      <c r="K16" s="42"/>
      <c r="L16" s="42"/>
      <c r="M16" s="42"/>
    </row>
    <row r="17" spans="1:13" s="4" customFormat="1" ht="8.25" customHeight="1" thickTop="1">
      <c r="A17" s="19"/>
      <c r="B17" s="19"/>
      <c r="C17" s="130"/>
      <c r="D17" s="15"/>
      <c r="E17" s="15"/>
      <c r="F17" s="15"/>
      <c r="G17" s="15"/>
      <c r="H17" s="15"/>
      <c r="I17" s="15"/>
      <c r="J17" s="15"/>
      <c r="K17" s="15"/>
      <c r="L17" s="15"/>
      <c r="M17" s="15"/>
    </row>
    <row r="18" spans="1:13" s="19" customFormat="1">
      <c r="A18" s="15" t="s">
        <v>12</v>
      </c>
      <c r="C18" s="131"/>
      <c r="D18" s="20"/>
      <c r="E18" s="20"/>
      <c r="F18" s="20"/>
      <c r="G18" s="20"/>
      <c r="H18" s="20"/>
      <c r="I18" s="20"/>
      <c r="J18" s="20"/>
      <c r="K18" s="20"/>
      <c r="L18" s="20"/>
      <c r="M18" s="20"/>
    </row>
    <row r="19" spans="1:13" s="19" customFormat="1">
      <c r="B19" s="137" t="s">
        <v>46</v>
      </c>
      <c r="C19" s="130"/>
      <c r="D19" s="132">
        <v>12500</v>
      </c>
      <c r="E19" s="132">
        <f t="shared" ref="E19:M19" si="18">D19</f>
        <v>12500</v>
      </c>
      <c r="F19" s="132">
        <f t="shared" si="18"/>
        <v>12500</v>
      </c>
      <c r="G19" s="132">
        <f t="shared" si="18"/>
        <v>12500</v>
      </c>
      <c r="H19" s="132">
        <f t="shared" si="18"/>
        <v>12500</v>
      </c>
      <c r="I19" s="132">
        <f t="shared" si="18"/>
        <v>12500</v>
      </c>
      <c r="J19" s="132">
        <f t="shared" si="18"/>
        <v>12500</v>
      </c>
      <c r="K19" s="132">
        <f t="shared" si="18"/>
        <v>12500</v>
      </c>
      <c r="L19" s="132">
        <f t="shared" si="18"/>
        <v>12500</v>
      </c>
      <c r="M19" s="132">
        <f t="shared" si="18"/>
        <v>12500</v>
      </c>
    </row>
    <row r="20" spans="1:13" s="123" customFormat="1">
      <c r="B20" s="138" t="s">
        <v>126</v>
      </c>
      <c r="C20" s="133"/>
      <c r="D20" s="124">
        <f>SUM(Debt!D4,Debt!D5)</f>
        <v>300</v>
      </c>
      <c r="E20" s="124">
        <f>SUM(Debt!E4,Debt!E5)</f>
        <v>300</v>
      </c>
      <c r="F20" s="124">
        <f>SUM(Debt!F4,Debt!F5)</f>
        <v>300</v>
      </c>
      <c r="G20" s="124">
        <f>SUM(Debt!G4,Debt!G5)</f>
        <v>300</v>
      </c>
      <c r="H20" s="124">
        <f>SUM(Debt!H4,Debt!H5)</f>
        <v>300</v>
      </c>
      <c r="I20" s="124">
        <f>SUM(Debt!I4,Debt!I5)</f>
        <v>300</v>
      </c>
      <c r="J20" s="124">
        <f>SUM(Debt!J4,Debt!J5)</f>
        <v>300</v>
      </c>
      <c r="K20" s="124">
        <f>SUM(Debt!K4,Debt!K5)</f>
        <v>300</v>
      </c>
      <c r="L20" s="124">
        <f>SUM(Debt!L4,Debt!L5)</f>
        <v>300</v>
      </c>
      <c r="M20" s="124">
        <f>SUM(Debt!M4,Debt!M5)</f>
        <v>300</v>
      </c>
    </row>
    <row r="21" spans="1:13" s="15" customFormat="1">
      <c r="B21" s="15" t="s">
        <v>99</v>
      </c>
      <c r="C21" s="134"/>
      <c r="D21" s="122">
        <f>SUM(D19:D20)</f>
        <v>12800</v>
      </c>
      <c r="E21" s="122">
        <f t="shared" ref="E21:M21" si="19">SUM(E19:E20)</f>
        <v>12800</v>
      </c>
      <c r="F21" s="122">
        <f t="shared" si="19"/>
        <v>12800</v>
      </c>
      <c r="G21" s="122">
        <f t="shared" si="19"/>
        <v>12800</v>
      </c>
      <c r="H21" s="122">
        <f t="shared" si="19"/>
        <v>12800</v>
      </c>
      <c r="I21" s="122">
        <f t="shared" si="19"/>
        <v>12800</v>
      </c>
      <c r="J21" s="122">
        <f t="shared" si="19"/>
        <v>12800</v>
      </c>
      <c r="K21" s="122">
        <f t="shared" si="19"/>
        <v>12800</v>
      </c>
      <c r="L21" s="122">
        <f t="shared" si="19"/>
        <v>12800</v>
      </c>
      <c r="M21" s="122">
        <f t="shared" si="19"/>
        <v>12800</v>
      </c>
    </row>
    <row r="22" spans="1:13" s="127" customFormat="1">
      <c r="B22" s="180" t="s">
        <v>127</v>
      </c>
      <c r="C22" s="130"/>
      <c r="D22" s="54">
        <f>SUM(Debt!D10,Debt!D11)</f>
        <v>700</v>
      </c>
      <c r="E22" s="54">
        <f>SUM(Debt!E10,Debt!E11)</f>
        <v>700</v>
      </c>
      <c r="F22" s="54">
        <f>SUM(Debt!F10,Debt!F11)</f>
        <v>700</v>
      </c>
      <c r="G22" s="54">
        <f>SUM(Debt!G10,Debt!G11)</f>
        <v>700</v>
      </c>
      <c r="H22" s="54">
        <f>SUM(Debt!H10,Debt!H11)</f>
        <v>700</v>
      </c>
      <c r="I22" s="54">
        <f>SUM(Debt!I10,Debt!I11)</f>
        <v>700</v>
      </c>
      <c r="J22" s="54">
        <f>SUM(Debt!J10,Debt!J11)</f>
        <v>700</v>
      </c>
      <c r="K22" s="54">
        <f>SUM(Debt!K10,Debt!K11)</f>
        <v>700</v>
      </c>
      <c r="L22" s="54">
        <f>SUM(Debt!L10,Debt!L11)</f>
        <v>700</v>
      </c>
      <c r="M22" s="54">
        <f>SUM(Debt!M10,Debt!M11)</f>
        <v>700</v>
      </c>
    </row>
    <row r="23" spans="1:13" s="127" customFormat="1">
      <c r="A23" s="175"/>
      <c r="B23" s="181" t="s">
        <v>47</v>
      </c>
      <c r="C23" s="176"/>
      <c r="D23" s="132">
        <v>10</v>
      </c>
      <c r="E23" s="132">
        <v>20</v>
      </c>
      <c r="F23" s="132">
        <v>30</v>
      </c>
      <c r="G23" s="132">
        <v>40</v>
      </c>
      <c r="H23" s="132">
        <v>50</v>
      </c>
      <c r="I23" s="132">
        <v>60</v>
      </c>
      <c r="J23" s="132">
        <v>70</v>
      </c>
      <c r="K23" s="132">
        <v>80</v>
      </c>
      <c r="L23" s="132">
        <v>90</v>
      </c>
      <c r="M23" s="132">
        <v>100</v>
      </c>
    </row>
    <row r="24" spans="1:13" s="21" customFormat="1">
      <c r="A24" s="15" t="s">
        <v>13</v>
      </c>
      <c r="C24" s="134"/>
      <c r="D24" s="56">
        <f>SUM(D21:D23)</f>
        <v>13510</v>
      </c>
      <c r="E24" s="56">
        <f t="shared" ref="E24:M24" si="20">SUM(E21:E23)</f>
        <v>13520</v>
      </c>
      <c r="F24" s="56">
        <f t="shared" si="20"/>
        <v>13530</v>
      </c>
      <c r="G24" s="56">
        <f t="shared" si="20"/>
        <v>13540</v>
      </c>
      <c r="H24" s="56">
        <f t="shared" si="20"/>
        <v>13550</v>
      </c>
      <c r="I24" s="56">
        <f t="shared" si="20"/>
        <v>13560</v>
      </c>
      <c r="J24" s="56">
        <f t="shared" si="20"/>
        <v>13570</v>
      </c>
      <c r="K24" s="56">
        <f t="shared" si="20"/>
        <v>13580</v>
      </c>
      <c r="L24" s="56">
        <f t="shared" si="20"/>
        <v>13590</v>
      </c>
      <c r="M24" s="56">
        <f t="shared" si="20"/>
        <v>13600</v>
      </c>
    </row>
    <row r="25" spans="1:13" s="23" customFormat="1">
      <c r="A25" s="22" t="s">
        <v>14</v>
      </c>
      <c r="C25" s="135"/>
      <c r="D25" s="24"/>
      <c r="E25" s="24"/>
      <c r="F25" s="24"/>
      <c r="G25" s="24"/>
      <c r="H25" s="24"/>
      <c r="I25" s="24"/>
      <c r="J25" s="24"/>
      <c r="K25" s="24"/>
      <c r="L25" s="24"/>
      <c r="M25" s="24"/>
    </row>
    <row r="26" spans="1:13" s="23" customFormat="1">
      <c r="B26" s="23" t="s">
        <v>15</v>
      </c>
      <c r="C26" s="135"/>
      <c r="D26" s="136">
        <v>0</v>
      </c>
      <c r="E26" s="136">
        <v>0</v>
      </c>
      <c r="F26" s="136">
        <v>0</v>
      </c>
      <c r="G26" s="136">
        <v>0</v>
      </c>
      <c r="H26" s="136">
        <v>0</v>
      </c>
      <c r="I26" s="136">
        <v>0</v>
      </c>
      <c r="J26" s="136">
        <v>0</v>
      </c>
      <c r="K26" s="136">
        <v>0</v>
      </c>
      <c r="L26" s="136">
        <v>0</v>
      </c>
      <c r="M26" s="136">
        <v>0</v>
      </c>
    </row>
    <row r="27" spans="1:13" s="23" customFormat="1">
      <c r="B27" s="23" t="s">
        <v>16</v>
      </c>
      <c r="C27" s="135"/>
      <c r="D27" s="136">
        <v>30000</v>
      </c>
      <c r="E27" s="136">
        <v>30000</v>
      </c>
      <c r="F27" s="136">
        <v>30000</v>
      </c>
      <c r="G27" s="136">
        <v>30000</v>
      </c>
      <c r="H27" s="136">
        <v>30000</v>
      </c>
      <c r="I27" s="136">
        <v>30000</v>
      </c>
      <c r="J27" s="136">
        <v>30000</v>
      </c>
      <c r="K27" s="136">
        <v>30000</v>
      </c>
      <c r="L27" s="136">
        <v>30000</v>
      </c>
      <c r="M27" s="136">
        <v>30000</v>
      </c>
    </row>
    <row r="28" spans="1:13" s="23" customFormat="1">
      <c r="B28" s="23" t="s">
        <v>17</v>
      </c>
      <c r="C28" s="135"/>
      <c r="D28" s="136">
        <v>0</v>
      </c>
      <c r="E28" s="136">
        <v>0</v>
      </c>
      <c r="F28" s="136">
        <v>0</v>
      </c>
      <c r="G28" s="136">
        <v>0</v>
      </c>
      <c r="H28" s="136">
        <v>0</v>
      </c>
      <c r="I28" s="136">
        <v>0</v>
      </c>
      <c r="J28" s="136">
        <v>0</v>
      </c>
      <c r="K28" s="136">
        <v>0</v>
      </c>
      <c r="L28" s="136">
        <v>0</v>
      </c>
      <c r="M28" s="136">
        <v>0</v>
      </c>
    </row>
    <row r="29" spans="1:13" s="177" customFormat="1">
      <c r="B29" s="178" t="s">
        <v>18</v>
      </c>
      <c r="C29" s="136">
        <v>0</v>
      </c>
      <c r="D29" s="179">
        <f>C29+'P&amp;L'!D20</f>
        <v>160014.14000000001</v>
      </c>
      <c r="E29" s="179">
        <f>D29+'P&amp;L'!E20</f>
        <v>298508.28000000003</v>
      </c>
      <c r="F29" s="179">
        <f>E29+'P&amp;L'!F20</f>
        <v>511747.02</v>
      </c>
      <c r="G29" s="179">
        <f>F29+'P&amp;L'!G20</f>
        <v>774218.96</v>
      </c>
      <c r="H29" s="179">
        <f>G29+'P&amp;L'!H20</f>
        <v>1051327.5</v>
      </c>
      <c r="I29" s="179">
        <f>H29+'P&amp;L'!I20</f>
        <v>1361159.6400000001</v>
      </c>
      <c r="J29" s="179">
        <f>I29+'P&amp;L'!J20</f>
        <v>1926623.1800000002</v>
      </c>
      <c r="K29" s="179">
        <f>J29+'P&amp;L'!K20</f>
        <v>2757646.92</v>
      </c>
      <c r="L29" s="179">
        <f>K29+'P&amp;L'!L20</f>
        <v>4418658.0599999996</v>
      </c>
      <c r="M29" s="179">
        <f>L29+'P&amp;L'!M20</f>
        <v>7647325.4000000004</v>
      </c>
    </row>
    <row r="30" spans="1:13" s="25" customFormat="1">
      <c r="A30" s="22" t="s">
        <v>19</v>
      </c>
      <c r="B30" s="22"/>
      <c r="C30" s="135"/>
      <c r="D30" s="59">
        <f>SUM(D26:D29)</f>
        <v>190014.14</v>
      </c>
      <c r="E30" s="59">
        <f t="shared" ref="E30:M30" si="21">SUM(E26:E29)</f>
        <v>328508.28000000003</v>
      </c>
      <c r="F30" s="59">
        <f t="shared" si="21"/>
        <v>541747.02</v>
      </c>
      <c r="G30" s="59">
        <f t="shared" si="21"/>
        <v>804218.96</v>
      </c>
      <c r="H30" s="59">
        <f t="shared" si="21"/>
        <v>1081327.5</v>
      </c>
      <c r="I30" s="59">
        <f t="shared" si="21"/>
        <v>1391159.6400000001</v>
      </c>
      <c r="J30" s="59">
        <f t="shared" si="21"/>
        <v>1956623.1800000002</v>
      </c>
      <c r="K30" s="59">
        <f t="shared" si="21"/>
        <v>2787646.92</v>
      </c>
      <c r="L30" s="59">
        <f t="shared" si="21"/>
        <v>4448658.0599999996</v>
      </c>
      <c r="M30" s="59">
        <f t="shared" si="21"/>
        <v>7677325.4000000004</v>
      </c>
    </row>
    <row r="31" spans="1:13" s="26" customFormat="1">
      <c r="A31" s="164" t="s">
        <v>20</v>
      </c>
      <c r="B31" s="164"/>
      <c r="C31" s="165"/>
      <c r="D31" s="166">
        <f t="shared" ref="D31:M31" si="22">SUM(D24,D30)</f>
        <v>203524.14</v>
      </c>
      <c r="E31" s="166">
        <f t="shared" si="22"/>
        <v>342028.28</v>
      </c>
      <c r="F31" s="166">
        <f t="shared" si="22"/>
        <v>555277.02</v>
      </c>
      <c r="G31" s="166">
        <f t="shared" si="22"/>
        <v>817758.96</v>
      </c>
      <c r="H31" s="166">
        <f t="shared" si="22"/>
        <v>1094877.5</v>
      </c>
      <c r="I31" s="166">
        <f t="shared" si="22"/>
        <v>1404719.6400000001</v>
      </c>
      <c r="J31" s="166">
        <f t="shared" si="22"/>
        <v>1970193.1800000002</v>
      </c>
      <c r="K31" s="166">
        <f t="shared" si="22"/>
        <v>2801226.92</v>
      </c>
      <c r="L31" s="166">
        <f t="shared" si="22"/>
        <v>4462248.0599999996</v>
      </c>
      <c r="M31" s="166">
        <f t="shared" si="22"/>
        <v>7690925.4000000004</v>
      </c>
    </row>
    <row r="32" spans="1:13" s="46" customFormat="1" ht="9" collapsed="1">
      <c r="A32" s="45"/>
      <c r="C32" s="92" t="s">
        <v>124</v>
      </c>
      <c r="D32" s="44">
        <f t="shared" ref="D32:M32" si="23">D15-D31</f>
        <v>0</v>
      </c>
      <c r="E32" s="44">
        <f t="shared" si="23"/>
        <v>0</v>
      </c>
      <c r="F32" s="44">
        <f t="shared" si="23"/>
        <v>0</v>
      </c>
      <c r="G32" s="44">
        <f t="shared" si="23"/>
        <v>0</v>
      </c>
      <c r="H32" s="44">
        <f t="shared" si="23"/>
        <v>0</v>
      </c>
      <c r="I32" s="44">
        <f t="shared" si="23"/>
        <v>0</v>
      </c>
      <c r="J32" s="44">
        <f t="shared" si="23"/>
        <v>0</v>
      </c>
      <c r="K32" s="44">
        <f t="shared" si="23"/>
        <v>0</v>
      </c>
      <c r="L32" s="44">
        <f t="shared" si="23"/>
        <v>0</v>
      </c>
      <c r="M32" s="44">
        <f t="shared" si="23"/>
        <v>0</v>
      </c>
    </row>
    <row r="33" spans="1:13" s="4" customFormat="1" ht="8.25" customHeight="1">
      <c r="A33" s="19"/>
      <c r="B33" s="19"/>
      <c r="C33" s="130"/>
      <c r="D33" s="15"/>
      <c r="E33" s="15"/>
      <c r="F33" s="15"/>
      <c r="G33" s="15"/>
      <c r="H33" s="15"/>
      <c r="I33" s="15"/>
      <c r="J33" s="15"/>
      <c r="K33" s="15"/>
      <c r="L33" s="15"/>
      <c r="M33" s="15"/>
    </row>
    <row r="34" spans="1:13">
      <c r="B34" t="s">
        <v>33</v>
      </c>
      <c r="D34" s="7">
        <f>D7-D21</f>
        <v>158214.14000000001</v>
      </c>
      <c r="E34" s="7">
        <f t="shared" ref="E34:M34" si="24">E7-E21</f>
        <v>296718.28000000003</v>
      </c>
      <c r="F34" s="7">
        <f t="shared" si="24"/>
        <v>509967.02</v>
      </c>
      <c r="G34" s="7">
        <f t="shared" si="24"/>
        <v>772448.96</v>
      </c>
      <c r="H34" s="7">
        <f t="shared" si="24"/>
        <v>1049567.5</v>
      </c>
      <c r="I34" s="7">
        <f t="shared" si="24"/>
        <v>1359409.6400000001</v>
      </c>
      <c r="J34" s="7">
        <f t="shared" si="24"/>
        <v>1924883.1800000002</v>
      </c>
      <c r="K34" s="7">
        <f t="shared" si="24"/>
        <v>2755916.92</v>
      </c>
      <c r="L34" s="7">
        <f t="shared" si="24"/>
        <v>4416938.0599999996</v>
      </c>
      <c r="M34" s="7">
        <f t="shared" si="24"/>
        <v>7645615.4000000004</v>
      </c>
    </row>
    <row r="35" spans="1:13">
      <c r="C35" s="48"/>
      <c r="D35" s="7"/>
      <c r="E35" s="7"/>
      <c r="F35" s="7"/>
      <c r="G35" s="7"/>
      <c r="H35" s="7"/>
      <c r="I35" s="7"/>
      <c r="J35" s="7"/>
      <c r="K35" s="7"/>
      <c r="L35" s="7"/>
      <c r="M35" s="7"/>
    </row>
  </sheetData>
  <sheetProtection algorithmName="SHA-512" hashValue="mA1ObSaL0pFXeP6wiqeaqqVL8ypdSUCzC2fD9o0MU3EiIZFzkfcnbZ4wAN0nv1kHw5sM9zCiaBUz0y4whTuftw==" saltValue="AZFluljO6TlDZgDEs1pXww==" spinCount="100000" sheet="1" objects="1" scenarios="1"/>
  <pageMargins left="0.7" right="0.7" top="0.75" bottom="0.75" header="0.3" footer="0.3"/>
  <pageSetup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8000"/>
  </sheetPr>
  <dimension ref="A1:M49"/>
  <sheetViews>
    <sheetView showGridLines="0" zoomScaleNormal="100" workbookViewId="0">
      <pane xSplit="2" ySplit="1" topLeftCell="C2" activePane="bottomRight" state="frozenSplit"/>
      <selection pane="topRight"/>
      <selection pane="bottomLeft"/>
      <selection pane="bottomRight"/>
    </sheetView>
  </sheetViews>
  <sheetFormatPr defaultRowHeight="15"/>
  <cols>
    <col min="1" max="1" width="4.28515625" customWidth="1"/>
    <col min="2" max="2" width="39.85546875" bestFit="1" customWidth="1"/>
    <col min="3" max="3" width="3.28515625" style="2" bestFit="1" customWidth="1"/>
    <col min="4" max="13" width="10.85546875" style="13" bestFit="1" customWidth="1"/>
  </cols>
  <sheetData>
    <row r="1" spans="1:13" ht="16.5" thickBot="1">
      <c r="A1" s="93" t="s">
        <v>50</v>
      </c>
      <c r="C1" s="87" t="s">
        <v>51</v>
      </c>
      <c r="D1" s="94">
        <v>1</v>
      </c>
      <c r="E1" s="94">
        <v>2</v>
      </c>
      <c r="F1" s="94">
        <v>3</v>
      </c>
      <c r="G1" s="94">
        <v>4</v>
      </c>
      <c r="H1" s="94">
        <v>5</v>
      </c>
      <c r="I1" s="94">
        <v>6</v>
      </c>
      <c r="J1" s="94">
        <v>7</v>
      </c>
      <c r="K1" s="94">
        <v>8</v>
      </c>
      <c r="L1" s="94">
        <v>9</v>
      </c>
      <c r="M1" s="94">
        <v>10</v>
      </c>
    </row>
    <row r="2" spans="1:13" ht="8.25" customHeight="1">
      <c r="C2"/>
      <c r="D2"/>
      <c r="E2"/>
      <c r="F2"/>
      <c r="G2"/>
      <c r="H2"/>
      <c r="I2"/>
      <c r="J2"/>
      <c r="K2"/>
      <c r="L2"/>
      <c r="M2"/>
    </row>
    <row r="3" spans="1:13" s="14" customFormat="1">
      <c r="A3" s="102" t="s">
        <v>21</v>
      </c>
      <c r="C3" s="27"/>
      <c r="D3" s="28"/>
      <c r="E3" s="28"/>
      <c r="F3" s="28"/>
      <c r="G3" s="28"/>
      <c r="H3" s="28"/>
      <c r="I3" s="28"/>
      <c r="J3" s="28"/>
      <c r="K3" s="28"/>
      <c r="L3" s="28"/>
      <c r="M3" s="28"/>
    </row>
    <row r="4" spans="1:13" s="14" customFormat="1">
      <c r="B4" s="14" t="s">
        <v>22</v>
      </c>
      <c r="D4" s="52">
        <f>'P&amp;L'!D18</f>
        <v>160114.14000000001</v>
      </c>
      <c r="E4" s="52">
        <f>'P&amp;L'!E18</f>
        <v>138694.13999999998</v>
      </c>
      <c r="F4" s="52">
        <f>'P&amp;L'!F18</f>
        <v>213538.74000000002</v>
      </c>
      <c r="G4" s="52">
        <f>'P&amp;L'!G18</f>
        <v>262871.94</v>
      </c>
      <c r="H4" s="52">
        <f>'P&amp;L'!H18</f>
        <v>277608.54000000004</v>
      </c>
      <c r="I4" s="52">
        <f>'P&amp;L'!I18</f>
        <v>310432.14</v>
      </c>
      <c r="J4" s="52">
        <f>'P&amp;L'!J18</f>
        <v>566163.54</v>
      </c>
      <c r="K4" s="52">
        <f>'P&amp;L'!K18</f>
        <v>831823.73999999987</v>
      </c>
      <c r="L4" s="52">
        <f>'P&amp;L'!L18</f>
        <v>1661911.14</v>
      </c>
      <c r="M4" s="52">
        <f>'P&amp;L'!M18</f>
        <v>3229667.3400000003</v>
      </c>
    </row>
    <row r="5" spans="1:13" s="14" customFormat="1">
      <c r="B5" s="14" t="s">
        <v>125</v>
      </c>
      <c r="D5" s="52">
        <f>('P&amp;L'!D12+'P&amp;L'!D13)</f>
        <v>0</v>
      </c>
      <c r="E5" s="52">
        <f>('P&amp;L'!E12+'P&amp;L'!E13)</f>
        <v>0</v>
      </c>
      <c r="F5" s="52">
        <f>('P&amp;L'!F12+'P&amp;L'!F13)</f>
        <v>0</v>
      </c>
      <c r="G5" s="52">
        <f>('P&amp;L'!G12+'P&amp;L'!G13)</f>
        <v>0</v>
      </c>
      <c r="H5" s="52">
        <f>('P&amp;L'!H12+'P&amp;L'!H13)</f>
        <v>0</v>
      </c>
      <c r="I5" s="52">
        <f>('P&amp;L'!I12+'P&amp;L'!I13)</f>
        <v>0</v>
      </c>
      <c r="J5" s="52">
        <f>('P&amp;L'!J12+'P&amp;L'!J13)</f>
        <v>0</v>
      </c>
      <c r="K5" s="52">
        <f>('P&amp;L'!K12+'P&amp;L'!K13)</f>
        <v>0</v>
      </c>
      <c r="L5" s="52">
        <f>('P&amp;L'!L12+'P&amp;L'!L13)</f>
        <v>0</v>
      </c>
      <c r="M5" s="52">
        <f>('P&amp;L'!M12+'P&amp;L'!M13)</f>
        <v>0</v>
      </c>
    </row>
    <row r="6" spans="1:13" s="29" customFormat="1">
      <c r="B6" s="30" t="s">
        <v>23</v>
      </c>
      <c r="C6" s="14"/>
      <c r="D6" s="63"/>
      <c r="E6" s="63"/>
      <c r="F6" s="63"/>
      <c r="G6" s="63"/>
      <c r="H6" s="63"/>
      <c r="I6" s="63"/>
      <c r="J6" s="63"/>
      <c r="K6" s="63"/>
      <c r="L6" s="63"/>
      <c r="M6" s="63"/>
    </row>
    <row r="7" spans="1:13" s="14" customFormat="1">
      <c r="B7" s="37" t="s">
        <v>45</v>
      </c>
      <c r="D7" s="52">
        <f>BalSheet!C5-BalSheet!D5</f>
        <v>-1000</v>
      </c>
      <c r="E7" s="52">
        <f>BalSheet!D5-BalSheet!E5</f>
        <v>0</v>
      </c>
      <c r="F7" s="52">
        <f>BalSheet!E5-BalSheet!F5</f>
        <v>0</v>
      </c>
      <c r="G7" s="52">
        <f>BalSheet!F5-BalSheet!G5</f>
        <v>0</v>
      </c>
      <c r="H7" s="52">
        <f>BalSheet!G5-BalSheet!H5</f>
        <v>0</v>
      </c>
      <c r="I7" s="52">
        <f>BalSheet!H5-BalSheet!I5</f>
        <v>0</v>
      </c>
      <c r="J7" s="52">
        <f>BalSheet!I5-BalSheet!J5</f>
        <v>0</v>
      </c>
      <c r="K7" s="52">
        <f>BalSheet!J5-BalSheet!K5</f>
        <v>0</v>
      </c>
      <c r="L7" s="52">
        <f>BalSheet!K5-BalSheet!L5</f>
        <v>0</v>
      </c>
      <c r="M7" s="52">
        <f>BalSheet!L5-BalSheet!M5</f>
        <v>0</v>
      </c>
    </row>
    <row r="8" spans="1:13" s="14" customFormat="1">
      <c r="B8" s="37" t="s">
        <v>9</v>
      </c>
      <c r="D8" s="52">
        <f>BalSheet!C6-BalSheet!D6</f>
        <v>-2000</v>
      </c>
      <c r="E8" s="52">
        <f>BalSheet!D6-BalSheet!E6</f>
        <v>0</v>
      </c>
      <c r="F8" s="52">
        <f>BalSheet!E6-BalSheet!F6</f>
        <v>0</v>
      </c>
      <c r="G8" s="52">
        <f>BalSheet!F6-BalSheet!G6</f>
        <v>0</v>
      </c>
      <c r="H8" s="52">
        <f>BalSheet!G6-BalSheet!H6</f>
        <v>0</v>
      </c>
      <c r="I8" s="52">
        <f>BalSheet!H6-BalSheet!I6</f>
        <v>0</v>
      </c>
      <c r="J8" s="52">
        <f>BalSheet!I6-BalSheet!J6</f>
        <v>0</v>
      </c>
      <c r="K8" s="52">
        <f>BalSheet!J6-BalSheet!K6</f>
        <v>0</v>
      </c>
      <c r="L8" s="52">
        <f>BalSheet!K6-BalSheet!L6</f>
        <v>0</v>
      </c>
      <c r="M8" s="52">
        <f>BalSheet!L6-BalSheet!M6</f>
        <v>0</v>
      </c>
    </row>
    <row r="9" spans="1:13" s="14" customFormat="1">
      <c r="B9" s="37" t="s">
        <v>90</v>
      </c>
      <c r="D9" s="52">
        <f>BalSheet!C14-BalSheet!D14</f>
        <v>-10</v>
      </c>
      <c r="E9" s="52">
        <f>BalSheet!D14-BalSheet!E14</f>
        <v>0</v>
      </c>
      <c r="F9" s="52">
        <f>BalSheet!E14-BalSheet!F14</f>
        <v>0</v>
      </c>
      <c r="G9" s="52">
        <f>BalSheet!F14-BalSheet!G14</f>
        <v>0</v>
      </c>
      <c r="H9" s="52">
        <f>BalSheet!G14-BalSheet!H14</f>
        <v>0</v>
      </c>
      <c r="I9" s="52">
        <f>BalSheet!H14-BalSheet!I14</f>
        <v>0</v>
      </c>
      <c r="J9" s="52">
        <f>BalSheet!I14-BalSheet!J14</f>
        <v>0</v>
      </c>
      <c r="K9" s="52">
        <f>BalSheet!J14-BalSheet!K14</f>
        <v>0</v>
      </c>
      <c r="L9" s="52">
        <f>BalSheet!K14-BalSheet!L14</f>
        <v>0</v>
      </c>
      <c r="M9" s="52">
        <f>BalSheet!L14-BalSheet!M14</f>
        <v>0</v>
      </c>
    </row>
    <row r="10" spans="1:13" s="29" customFormat="1">
      <c r="B10" s="30" t="s">
        <v>24</v>
      </c>
      <c r="C10" s="14"/>
      <c r="D10" s="63"/>
      <c r="E10" s="63"/>
      <c r="F10" s="63"/>
      <c r="G10" s="63"/>
      <c r="H10" s="63"/>
      <c r="I10" s="63"/>
      <c r="J10" s="63"/>
      <c r="K10" s="63"/>
      <c r="L10" s="63"/>
      <c r="M10" s="63"/>
    </row>
    <row r="11" spans="1:13" s="14" customFormat="1">
      <c r="B11" s="37" t="s">
        <v>46</v>
      </c>
      <c r="D11" s="52">
        <f>BalSheet!D19-BalSheet!C19</f>
        <v>12500</v>
      </c>
      <c r="E11" s="52">
        <f>BalSheet!E19-BalSheet!D19</f>
        <v>0</v>
      </c>
      <c r="F11" s="52">
        <f>BalSheet!F19-BalSheet!E19</f>
        <v>0</v>
      </c>
      <c r="G11" s="52">
        <f>BalSheet!G19-BalSheet!F19</f>
        <v>0</v>
      </c>
      <c r="H11" s="52">
        <f>BalSheet!H19-BalSheet!G19</f>
        <v>0</v>
      </c>
      <c r="I11" s="52">
        <f>BalSheet!I19-BalSheet!H19</f>
        <v>0</v>
      </c>
      <c r="J11" s="52">
        <f>BalSheet!J19-BalSheet!I19</f>
        <v>0</v>
      </c>
      <c r="K11" s="52">
        <f>BalSheet!K19-BalSheet!J19</f>
        <v>0</v>
      </c>
      <c r="L11" s="52">
        <f>BalSheet!L19-BalSheet!K19</f>
        <v>0</v>
      </c>
      <c r="M11" s="52">
        <f>BalSheet!M19-BalSheet!L19</f>
        <v>0</v>
      </c>
    </row>
    <row r="12" spans="1:13" s="14" customFormat="1">
      <c r="A12" s="66"/>
      <c r="B12" s="200" t="s">
        <v>128</v>
      </c>
      <c r="C12" s="66"/>
      <c r="D12" s="67">
        <f>SUM(BalSheet!D20,BalSheet!D23)-SUM(BalSheet!C20,BalSheet!C23)</f>
        <v>310</v>
      </c>
      <c r="E12" s="67">
        <f>SUM(BalSheet!E20,BalSheet!E23)-SUM(BalSheet!D20,BalSheet!D23)</f>
        <v>10</v>
      </c>
      <c r="F12" s="67">
        <f>SUM(BalSheet!F20,BalSheet!F23)-SUM(BalSheet!E20,BalSheet!E23)</f>
        <v>10</v>
      </c>
      <c r="G12" s="67">
        <f>SUM(BalSheet!G20,BalSheet!G23)-SUM(BalSheet!F20,BalSheet!F23)</f>
        <v>10</v>
      </c>
      <c r="H12" s="67">
        <f>SUM(BalSheet!H20,BalSheet!H23)-SUM(BalSheet!G20,BalSheet!G23)</f>
        <v>10</v>
      </c>
      <c r="I12" s="67">
        <f>SUM(BalSheet!I20,BalSheet!I23)-SUM(BalSheet!H20,BalSheet!H23)</f>
        <v>10</v>
      </c>
      <c r="J12" s="67">
        <f>SUM(BalSheet!J20,BalSheet!J23)-SUM(BalSheet!I20,BalSheet!I23)</f>
        <v>10</v>
      </c>
      <c r="K12" s="67">
        <f>SUM(BalSheet!K20,BalSheet!K23)-SUM(BalSheet!J20,BalSheet!J23)</f>
        <v>10</v>
      </c>
      <c r="L12" s="67">
        <f>SUM(BalSheet!L20,BalSheet!L23)-SUM(BalSheet!K20,BalSheet!K23)</f>
        <v>10</v>
      </c>
      <c r="M12" s="67">
        <f>SUM(BalSheet!M20,BalSheet!M23)-SUM(BalSheet!L20,BalSheet!L23)</f>
        <v>10</v>
      </c>
    </row>
    <row r="13" spans="1:13" s="31" customFormat="1">
      <c r="A13" s="1" t="s">
        <v>25</v>
      </c>
      <c r="B13" s="14"/>
      <c r="C13" s="14"/>
      <c r="D13" s="53">
        <f t="shared" ref="D13:M13" si="0">SUM(D4:D12)</f>
        <v>169914.14</v>
      </c>
      <c r="E13" s="53">
        <f t="shared" si="0"/>
        <v>138704.13999999998</v>
      </c>
      <c r="F13" s="53">
        <f t="shared" ref="F13:L13" si="1">SUM(F4:F12)</f>
        <v>213548.74000000002</v>
      </c>
      <c r="G13" s="53">
        <f t="shared" ref="G13" si="2">SUM(G4:G12)</f>
        <v>262881.94</v>
      </c>
      <c r="H13" s="53">
        <f t="shared" si="1"/>
        <v>277618.54000000004</v>
      </c>
      <c r="I13" s="53">
        <f t="shared" si="1"/>
        <v>310442.14</v>
      </c>
      <c r="J13" s="53">
        <f t="shared" si="1"/>
        <v>566173.54</v>
      </c>
      <c r="K13" s="53">
        <f t="shared" si="1"/>
        <v>831833.73999999987</v>
      </c>
      <c r="L13" s="53">
        <f t="shared" si="1"/>
        <v>1661921.14</v>
      </c>
      <c r="M13" s="53">
        <f t="shared" si="0"/>
        <v>3229677.3400000003</v>
      </c>
    </row>
    <row r="14" spans="1:13" s="4" customFormat="1" ht="8.25" customHeight="1" thickBot="1">
      <c r="A14" s="40"/>
      <c r="B14" s="40"/>
      <c r="C14" s="41"/>
      <c r="D14" s="42"/>
      <c r="E14" s="42"/>
      <c r="F14" s="42"/>
      <c r="G14" s="42"/>
      <c r="H14" s="42"/>
      <c r="I14" s="42"/>
      <c r="J14" s="42"/>
      <c r="K14" s="42"/>
      <c r="L14" s="42"/>
      <c r="M14" s="42"/>
    </row>
    <row r="15" spans="1:13" s="4" customFormat="1" ht="8.25" customHeight="1" thickTop="1">
      <c r="C15" s="3"/>
      <c r="D15" s="10"/>
      <c r="E15" s="10"/>
      <c r="F15" s="10"/>
      <c r="G15" s="10"/>
      <c r="H15" s="10"/>
      <c r="I15" s="10"/>
      <c r="J15" s="10"/>
      <c r="K15" s="10"/>
      <c r="L15" s="10"/>
      <c r="M15" s="10"/>
    </row>
    <row r="16" spans="1:13" s="33" customFormat="1">
      <c r="A16" s="32" t="s">
        <v>26</v>
      </c>
      <c r="B16" s="16"/>
      <c r="C16" s="14"/>
      <c r="D16" s="61"/>
      <c r="E16" s="61"/>
      <c r="F16" s="61"/>
      <c r="G16" s="61"/>
      <c r="H16" s="61"/>
      <c r="I16" s="61"/>
      <c r="J16" s="61"/>
      <c r="K16" s="61"/>
      <c r="L16" s="61"/>
      <c r="M16" s="61"/>
    </row>
    <row r="17" spans="1:13" s="33" customFormat="1">
      <c r="B17" s="33" t="s">
        <v>129</v>
      </c>
      <c r="C17" s="14"/>
      <c r="D17" s="64">
        <f>BalSheet!C11-BalSheet!D11</f>
        <v>-10000</v>
      </c>
      <c r="E17" s="64">
        <f>BalSheet!D11-BalSheet!E11</f>
        <v>0</v>
      </c>
      <c r="F17" s="64">
        <f>BalSheet!E11-BalSheet!F11</f>
        <v>0</v>
      </c>
      <c r="G17" s="64">
        <f>BalSheet!F11-BalSheet!G11</f>
        <v>0</v>
      </c>
      <c r="H17" s="64">
        <f>BalSheet!G11-BalSheet!H11</f>
        <v>0</v>
      </c>
      <c r="I17" s="64">
        <f>BalSheet!H11-BalSheet!I11</f>
        <v>0</v>
      </c>
      <c r="J17" s="64">
        <f>BalSheet!I11-BalSheet!J11</f>
        <v>0</v>
      </c>
      <c r="K17" s="64">
        <f>BalSheet!J11-BalSheet!K11</f>
        <v>0</v>
      </c>
      <c r="L17" s="64">
        <f>BalSheet!K11-BalSheet!L11</f>
        <v>0</v>
      </c>
      <c r="M17" s="64">
        <f>BalSheet!L11-BalSheet!M11</f>
        <v>0</v>
      </c>
    </row>
    <row r="18" spans="1:13" s="33" customFormat="1">
      <c r="A18" s="68"/>
      <c r="B18" s="68" t="s">
        <v>130</v>
      </c>
      <c r="C18" s="66"/>
      <c r="D18" s="69">
        <f>BalSheet!C8-BalSheet!D8</f>
        <v>-22500</v>
      </c>
      <c r="E18" s="69">
        <f>BalSheet!D8-BalSheet!E8</f>
        <v>0</v>
      </c>
      <c r="F18" s="69">
        <f>BalSheet!E8-BalSheet!F8</f>
        <v>0</v>
      </c>
      <c r="G18" s="69">
        <f>BalSheet!F8-BalSheet!G8</f>
        <v>0</v>
      </c>
      <c r="H18" s="69">
        <f>BalSheet!G8-BalSheet!H8</f>
        <v>0</v>
      </c>
      <c r="I18" s="69">
        <f>BalSheet!H8-BalSheet!I8</f>
        <v>0</v>
      </c>
      <c r="J18" s="69">
        <f>BalSheet!I8-BalSheet!J8</f>
        <v>0</v>
      </c>
      <c r="K18" s="69">
        <f>BalSheet!J8-BalSheet!K8</f>
        <v>0</v>
      </c>
      <c r="L18" s="69">
        <f>BalSheet!K8-BalSheet!L8</f>
        <v>0</v>
      </c>
      <c r="M18" s="69">
        <f>BalSheet!L8-BalSheet!M8</f>
        <v>0</v>
      </c>
    </row>
    <row r="19" spans="1:13" s="34" customFormat="1">
      <c r="A19" s="32" t="s">
        <v>27</v>
      </c>
      <c r="B19" s="33"/>
      <c r="C19" s="14"/>
      <c r="D19" s="65">
        <f t="shared" ref="D19:M19" si="3">SUM(D17:D18)</f>
        <v>-32500</v>
      </c>
      <c r="E19" s="65">
        <f t="shared" si="3"/>
        <v>0</v>
      </c>
      <c r="F19" s="65">
        <f t="shared" si="3"/>
        <v>0</v>
      </c>
      <c r="G19" s="65">
        <f t="shared" si="3"/>
        <v>0</v>
      </c>
      <c r="H19" s="65">
        <f t="shared" si="3"/>
        <v>0</v>
      </c>
      <c r="I19" s="65">
        <f t="shared" si="3"/>
        <v>0</v>
      </c>
      <c r="J19" s="65">
        <f t="shared" si="3"/>
        <v>0</v>
      </c>
      <c r="K19" s="65">
        <f t="shared" si="3"/>
        <v>0</v>
      </c>
      <c r="L19" s="65">
        <f t="shared" si="3"/>
        <v>0</v>
      </c>
      <c r="M19" s="65">
        <f t="shared" si="3"/>
        <v>0</v>
      </c>
    </row>
    <row r="20" spans="1:13" s="4" customFormat="1" ht="8.25" customHeight="1" thickBot="1">
      <c r="A20" s="40"/>
      <c r="B20" s="40"/>
      <c r="C20" s="41"/>
      <c r="D20" s="42"/>
      <c r="E20" s="42"/>
      <c r="F20" s="42"/>
      <c r="G20" s="42"/>
      <c r="H20" s="42"/>
      <c r="I20" s="42"/>
      <c r="J20" s="42"/>
      <c r="K20" s="42"/>
      <c r="L20" s="42"/>
      <c r="M20" s="42"/>
    </row>
    <row r="21" spans="1:13" s="4" customFormat="1" ht="8.25" customHeight="1" thickTop="1">
      <c r="C21" s="3"/>
      <c r="D21" s="10"/>
      <c r="E21" s="10"/>
      <c r="F21" s="10"/>
      <c r="G21" s="10"/>
      <c r="H21" s="10"/>
      <c r="I21" s="10"/>
      <c r="J21" s="10"/>
      <c r="K21" s="10"/>
      <c r="L21" s="10"/>
      <c r="M21" s="10"/>
    </row>
    <row r="22" spans="1:13" s="23" customFormat="1">
      <c r="A22" s="22" t="s">
        <v>28</v>
      </c>
      <c r="B22" s="16"/>
      <c r="C22" s="14"/>
      <c r="D22" s="62"/>
      <c r="E22" s="62"/>
      <c r="F22" s="62"/>
      <c r="G22" s="62"/>
      <c r="H22" s="62"/>
      <c r="I22" s="62"/>
      <c r="J22" s="62"/>
      <c r="K22" s="62"/>
      <c r="L22" s="62"/>
      <c r="M22" s="62"/>
    </row>
    <row r="23" spans="1:13" s="23" customFormat="1">
      <c r="B23" s="23" t="s">
        <v>132</v>
      </c>
      <c r="C23" s="14"/>
      <c r="D23" s="58">
        <f>BalSheet!D22-BalSheet!C22</f>
        <v>700</v>
      </c>
      <c r="E23" s="58">
        <f>BalSheet!E22-BalSheet!D22</f>
        <v>0</v>
      </c>
      <c r="F23" s="58">
        <f>BalSheet!F22-BalSheet!E22</f>
        <v>0</v>
      </c>
      <c r="G23" s="58">
        <f>BalSheet!G22-BalSheet!F22</f>
        <v>0</v>
      </c>
      <c r="H23" s="58">
        <f>BalSheet!H22-BalSheet!G22</f>
        <v>0</v>
      </c>
      <c r="I23" s="58">
        <f>BalSheet!I22-BalSheet!H22</f>
        <v>0</v>
      </c>
      <c r="J23" s="58">
        <f>BalSheet!J22-BalSheet!I22</f>
        <v>0</v>
      </c>
      <c r="K23" s="58">
        <f>BalSheet!K22-BalSheet!J22</f>
        <v>0</v>
      </c>
      <c r="L23" s="58">
        <f>BalSheet!L22-BalSheet!K22</f>
        <v>0</v>
      </c>
      <c r="M23" s="58">
        <f>BalSheet!M22-BalSheet!L22</f>
        <v>0</v>
      </c>
    </row>
    <row r="24" spans="1:13" s="23" customFormat="1">
      <c r="B24" s="23" t="s">
        <v>133</v>
      </c>
      <c r="C24" s="14"/>
      <c r="D24" s="58">
        <f>SUM(BalSheet!D26:D28)-SUM(BalSheet!C26:C28)</f>
        <v>30000</v>
      </c>
      <c r="E24" s="58">
        <f>SUM(BalSheet!E26:E28)-SUM(BalSheet!D26:D28)</f>
        <v>0</v>
      </c>
      <c r="F24" s="58">
        <f>SUM(BalSheet!F26:F28)-SUM(BalSheet!E26:E28)</f>
        <v>0</v>
      </c>
      <c r="G24" s="58">
        <f>SUM(BalSheet!G26:G28)-SUM(BalSheet!F26:F28)</f>
        <v>0</v>
      </c>
      <c r="H24" s="58">
        <f>SUM(BalSheet!H26:H28)-SUM(BalSheet!G26:G28)</f>
        <v>0</v>
      </c>
      <c r="I24" s="58">
        <f>SUM(BalSheet!I26:I28)-SUM(BalSheet!H26:H28)</f>
        <v>0</v>
      </c>
      <c r="J24" s="58">
        <f>SUM(BalSheet!J26:J28)-SUM(BalSheet!I26:I28)</f>
        <v>0</v>
      </c>
      <c r="K24" s="58">
        <f>SUM(BalSheet!K26:K28)-SUM(BalSheet!J26:J28)</f>
        <v>0</v>
      </c>
      <c r="L24" s="58">
        <f>SUM(BalSheet!L26:L28)-SUM(BalSheet!K26:K28)</f>
        <v>0</v>
      </c>
      <c r="M24" s="58">
        <f>SUM(BalSheet!M26:M28)-SUM(BalSheet!L26:L28)</f>
        <v>0</v>
      </c>
    </row>
    <row r="25" spans="1:13" s="23" customFormat="1">
      <c r="A25" s="70"/>
      <c r="B25" s="182" t="s">
        <v>134</v>
      </c>
      <c r="C25" s="66"/>
      <c r="D25" s="71">
        <f>-'P&amp;L'!D19</f>
        <v>-100</v>
      </c>
      <c r="E25" s="71">
        <f>-'P&amp;L'!E19</f>
        <v>-200</v>
      </c>
      <c r="F25" s="71">
        <f>-'P&amp;L'!F19</f>
        <v>-300</v>
      </c>
      <c r="G25" s="71">
        <f>-'P&amp;L'!G19</f>
        <v>-400</v>
      </c>
      <c r="H25" s="71">
        <f>-'P&amp;L'!H19</f>
        <v>-500</v>
      </c>
      <c r="I25" s="71">
        <f>-'P&amp;L'!I19</f>
        <v>-600</v>
      </c>
      <c r="J25" s="71">
        <f>-'P&amp;L'!J19</f>
        <v>-700</v>
      </c>
      <c r="K25" s="71">
        <f>-'P&amp;L'!K19</f>
        <v>-800</v>
      </c>
      <c r="L25" s="71">
        <f>-'P&amp;L'!L19</f>
        <v>-900</v>
      </c>
      <c r="M25" s="71">
        <f>-'P&amp;L'!M19</f>
        <v>-1000</v>
      </c>
    </row>
    <row r="26" spans="1:13" s="25" customFormat="1">
      <c r="A26" s="22" t="s">
        <v>30</v>
      </c>
      <c r="B26" s="23"/>
      <c r="C26" s="14"/>
      <c r="D26" s="59">
        <f t="shared" ref="D26:M26" si="4">SUM(D23:D25)</f>
        <v>30600</v>
      </c>
      <c r="E26" s="59">
        <f t="shared" si="4"/>
        <v>-200</v>
      </c>
      <c r="F26" s="59">
        <f t="shared" si="4"/>
        <v>-300</v>
      </c>
      <c r="G26" s="59">
        <f t="shared" si="4"/>
        <v>-400</v>
      </c>
      <c r="H26" s="59">
        <f t="shared" si="4"/>
        <v>-500</v>
      </c>
      <c r="I26" s="59">
        <f t="shared" si="4"/>
        <v>-600</v>
      </c>
      <c r="J26" s="59">
        <f t="shared" si="4"/>
        <v>-700</v>
      </c>
      <c r="K26" s="59">
        <f t="shared" si="4"/>
        <v>-800</v>
      </c>
      <c r="L26" s="59">
        <f t="shared" si="4"/>
        <v>-900</v>
      </c>
      <c r="M26" s="59">
        <f t="shared" si="4"/>
        <v>-1000</v>
      </c>
    </row>
    <row r="27" spans="1:13" s="4" customFormat="1" ht="8.25" customHeight="1" thickBot="1">
      <c r="A27" s="40"/>
      <c r="B27" s="40"/>
      <c r="C27" s="41"/>
      <c r="D27" s="42"/>
      <c r="E27" s="42"/>
      <c r="F27" s="42"/>
      <c r="G27" s="42"/>
      <c r="H27" s="42"/>
      <c r="I27" s="42"/>
      <c r="J27" s="42"/>
      <c r="K27" s="42"/>
      <c r="L27" s="42"/>
      <c r="M27" s="42"/>
    </row>
    <row r="28" spans="1:13" s="4" customFormat="1" ht="8.25" customHeight="1" thickTop="1">
      <c r="C28" s="3"/>
      <c r="D28" s="10"/>
      <c r="E28" s="10"/>
      <c r="F28" s="10"/>
      <c r="G28" s="10"/>
      <c r="H28" s="10"/>
      <c r="I28" s="10"/>
      <c r="J28" s="10"/>
      <c r="K28" s="10"/>
      <c r="L28" s="10"/>
      <c r="M28" s="10"/>
    </row>
    <row r="29" spans="1:13" s="26" customFormat="1">
      <c r="A29" s="164" t="s">
        <v>88</v>
      </c>
      <c r="B29" s="164"/>
      <c r="C29" s="165"/>
      <c r="D29" s="166">
        <f>SUM(D13,D19,D26)</f>
        <v>168014.14</v>
      </c>
      <c r="E29" s="166">
        <f>SUM(E13,E19,E26)</f>
        <v>138504.13999999998</v>
      </c>
      <c r="F29" s="166">
        <f t="shared" ref="F29:M29" si="5">SUM(F13,F19,F26)</f>
        <v>213248.74000000002</v>
      </c>
      <c r="G29" s="166">
        <f t="shared" si="5"/>
        <v>262481.94</v>
      </c>
      <c r="H29" s="166">
        <f t="shared" si="5"/>
        <v>277118.54000000004</v>
      </c>
      <c r="I29" s="166">
        <f t="shared" si="5"/>
        <v>309842.14</v>
      </c>
      <c r="J29" s="166">
        <f t="shared" si="5"/>
        <v>565473.54</v>
      </c>
      <c r="K29" s="166">
        <f t="shared" si="5"/>
        <v>831033.73999999987</v>
      </c>
      <c r="L29" s="166">
        <f t="shared" si="5"/>
        <v>1661021.14</v>
      </c>
      <c r="M29" s="166">
        <f t="shared" si="5"/>
        <v>3228677.3400000003</v>
      </c>
    </row>
    <row r="30" spans="1:13" s="6" customFormat="1">
      <c r="B30" s="4" t="s">
        <v>31</v>
      </c>
      <c r="C30" s="14"/>
      <c r="D30" s="58">
        <f>BalSheet!C4</f>
        <v>0</v>
      </c>
      <c r="E30" s="58">
        <f>BalSheet!D4</f>
        <v>168014.14</v>
      </c>
      <c r="F30" s="58">
        <f>BalSheet!E4</f>
        <v>306518.28000000003</v>
      </c>
      <c r="G30" s="58">
        <f>BalSheet!F4</f>
        <v>519767.02</v>
      </c>
      <c r="H30" s="58">
        <f>BalSheet!G4</f>
        <v>782248.95999999996</v>
      </c>
      <c r="I30" s="58">
        <f>BalSheet!H4</f>
        <v>1059367.5</v>
      </c>
      <c r="J30" s="58">
        <f>BalSheet!I4</f>
        <v>1369209.6400000001</v>
      </c>
      <c r="K30" s="58">
        <f>BalSheet!J4</f>
        <v>1934683.1800000002</v>
      </c>
      <c r="L30" s="58">
        <f>BalSheet!K4</f>
        <v>2765716.92</v>
      </c>
      <c r="M30" s="58">
        <f>BalSheet!L4</f>
        <v>4426738.0599999996</v>
      </c>
    </row>
    <row r="31" spans="1:13" s="26" customFormat="1">
      <c r="A31" s="4"/>
      <c r="B31" s="4" t="s">
        <v>135</v>
      </c>
      <c r="C31" s="14"/>
      <c r="D31" s="60">
        <f>SUM(D29:D30)</f>
        <v>168014.14</v>
      </c>
      <c r="E31" s="60">
        <f t="shared" ref="E31:M31" si="6">SUM(E29:E30)</f>
        <v>306518.28000000003</v>
      </c>
      <c r="F31" s="60">
        <f t="shared" si="6"/>
        <v>519767.02</v>
      </c>
      <c r="G31" s="60">
        <f t="shared" si="6"/>
        <v>782248.95999999996</v>
      </c>
      <c r="H31" s="60">
        <f t="shared" si="6"/>
        <v>1059367.5</v>
      </c>
      <c r="I31" s="60">
        <f t="shared" si="6"/>
        <v>1369209.6400000001</v>
      </c>
      <c r="J31" s="60">
        <f t="shared" si="6"/>
        <v>1934683.1800000002</v>
      </c>
      <c r="K31" s="60">
        <f t="shared" si="6"/>
        <v>2765716.92</v>
      </c>
      <c r="L31" s="60">
        <f t="shared" si="6"/>
        <v>4426738.0599999996</v>
      </c>
      <c r="M31" s="60">
        <f t="shared" si="6"/>
        <v>7655415.4000000004</v>
      </c>
    </row>
    <row r="32" spans="1:13" s="73" customFormat="1" ht="9" collapsed="1">
      <c r="A32" s="72"/>
      <c r="C32" s="74" t="s">
        <v>52</v>
      </c>
      <c r="D32" s="75">
        <f>BalSheet!D4-D31</f>
        <v>0</v>
      </c>
      <c r="E32" s="75">
        <f>BalSheet!E4-E31</f>
        <v>0</v>
      </c>
      <c r="F32" s="75">
        <f>BalSheet!F4-F31</f>
        <v>0</v>
      </c>
      <c r="G32" s="75">
        <f>BalSheet!G4-G31</f>
        <v>0</v>
      </c>
      <c r="H32" s="75">
        <f>BalSheet!H4-H31</f>
        <v>0</v>
      </c>
      <c r="I32" s="75">
        <f>BalSheet!I4-I31</f>
        <v>0</v>
      </c>
      <c r="J32" s="75">
        <f>BalSheet!J4-J31</f>
        <v>0</v>
      </c>
      <c r="K32" s="75">
        <f>BalSheet!K4-K31</f>
        <v>0</v>
      </c>
      <c r="L32" s="75">
        <f>BalSheet!L4-L31</f>
        <v>0</v>
      </c>
      <c r="M32" s="75">
        <f>BalSheet!M4-M31</f>
        <v>0</v>
      </c>
    </row>
    <row r="33" spans="1:13">
      <c r="A33" s="47"/>
      <c r="B33" s="47"/>
      <c r="C33" s="14"/>
      <c r="D33" s="57"/>
      <c r="E33" s="57"/>
      <c r="F33" s="57"/>
      <c r="G33" s="57"/>
      <c r="H33" s="57"/>
      <c r="I33" s="57"/>
      <c r="J33" s="57"/>
      <c r="K33" s="57"/>
      <c r="L33" s="57"/>
      <c r="M33" s="57"/>
    </row>
    <row r="34" spans="1:13">
      <c r="A34" s="47"/>
      <c r="B34" s="47"/>
      <c r="C34" s="14"/>
      <c r="D34" s="57"/>
      <c r="E34" s="57"/>
      <c r="F34" s="57"/>
      <c r="G34" s="57"/>
      <c r="H34" s="57"/>
      <c r="I34" s="57"/>
      <c r="J34" s="57"/>
      <c r="K34" s="57"/>
      <c r="L34" s="57"/>
      <c r="M34" s="57"/>
    </row>
    <row r="35" spans="1:13">
      <c r="A35" s="47"/>
      <c r="B35" s="47"/>
      <c r="C35" s="14"/>
    </row>
    <row r="36" spans="1:13">
      <c r="A36" s="47"/>
      <c r="B36" s="47"/>
      <c r="C36" s="14"/>
    </row>
    <row r="37" spans="1:13">
      <c r="A37" s="47"/>
      <c r="B37" s="47"/>
      <c r="C37" s="14"/>
    </row>
    <row r="38" spans="1:13">
      <c r="A38" s="47"/>
      <c r="B38" s="47"/>
      <c r="C38" s="14"/>
    </row>
    <row r="39" spans="1:13">
      <c r="A39" s="47"/>
      <c r="B39" s="47"/>
      <c r="C39" s="14"/>
    </row>
    <row r="40" spans="1:13">
      <c r="A40" s="47"/>
      <c r="B40" s="47"/>
      <c r="C40" s="14"/>
    </row>
    <row r="41" spans="1:13">
      <c r="A41" s="47"/>
      <c r="B41" s="47"/>
      <c r="C41" s="14"/>
    </row>
    <row r="42" spans="1:13">
      <c r="A42" s="47"/>
      <c r="B42" s="47"/>
      <c r="C42" s="14"/>
      <c r="D42"/>
      <c r="E42"/>
      <c r="F42"/>
      <c r="G42"/>
      <c r="H42"/>
      <c r="I42"/>
      <c r="J42"/>
      <c r="K42"/>
      <c r="L42"/>
      <c r="M42"/>
    </row>
    <row r="43" spans="1:13">
      <c r="A43" s="47"/>
      <c r="B43" s="47"/>
      <c r="C43" s="14"/>
      <c r="D43"/>
      <c r="E43"/>
      <c r="F43"/>
      <c r="G43"/>
      <c r="H43"/>
      <c r="I43"/>
      <c r="J43"/>
      <c r="K43"/>
      <c r="L43"/>
      <c r="M43"/>
    </row>
    <row r="44" spans="1:13">
      <c r="A44" s="47"/>
      <c r="B44" s="47"/>
      <c r="C44" s="14"/>
      <c r="D44"/>
      <c r="E44"/>
      <c r="F44"/>
      <c r="G44"/>
      <c r="H44"/>
      <c r="I44"/>
      <c r="J44"/>
      <c r="K44"/>
      <c r="L44"/>
      <c r="M44"/>
    </row>
    <row r="45" spans="1:13">
      <c r="A45" s="47"/>
      <c r="B45" s="47"/>
      <c r="C45" s="14"/>
      <c r="D45"/>
      <c r="E45"/>
      <c r="F45"/>
      <c r="G45"/>
      <c r="H45"/>
      <c r="I45"/>
      <c r="J45"/>
      <c r="K45"/>
      <c r="L45"/>
      <c r="M45"/>
    </row>
    <row r="46" spans="1:13">
      <c r="A46" s="47"/>
      <c r="B46" s="47"/>
      <c r="C46" s="14"/>
      <c r="D46"/>
      <c r="E46"/>
      <c r="F46"/>
      <c r="G46"/>
      <c r="H46"/>
      <c r="I46"/>
      <c r="J46"/>
      <c r="K46"/>
      <c r="L46"/>
      <c r="M46"/>
    </row>
    <row r="47" spans="1:13">
      <c r="C47" s="14"/>
      <c r="D47"/>
      <c r="E47"/>
      <c r="F47"/>
      <c r="G47"/>
      <c r="H47"/>
      <c r="I47"/>
      <c r="J47"/>
      <c r="K47"/>
      <c r="L47"/>
      <c r="M47"/>
    </row>
    <row r="48" spans="1:13">
      <c r="C48" s="14"/>
      <c r="D48"/>
      <c r="E48"/>
      <c r="F48"/>
      <c r="G48"/>
      <c r="H48"/>
      <c r="I48"/>
      <c r="J48"/>
      <c r="K48"/>
      <c r="L48"/>
      <c r="M48"/>
    </row>
    <row r="49" spans="3:13">
      <c r="C49" s="14"/>
      <c r="D49"/>
      <c r="E49"/>
      <c r="F49"/>
      <c r="G49"/>
      <c r="H49"/>
      <c r="I49"/>
      <c r="J49"/>
      <c r="K49"/>
      <c r="L49"/>
      <c r="M49"/>
    </row>
  </sheetData>
  <sheetProtection algorithmName="SHA-512" hashValue="HkDd2Q/Ys/3whd/hcFXuTp1w91mPP7P8QuShH6B0ilNRNYgl2jDYD210xX/D2WfPyyzc/kGMTMi6GTmFMN2SNw==" saltValue="605ptPuBi5yUTMpGT1kW6w==" spinCount="100000" sheet="1" objects="1" scenarios="1"/>
  <pageMargins left="0.7" right="0.7" top="0.75" bottom="0.75" header="0.3" footer="0.3"/>
  <pageSetup orientation="portrait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7030A0"/>
  </sheetPr>
  <dimension ref="A1:P45"/>
  <sheetViews>
    <sheetView showGridLines="0" zoomScaleNormal="100" workbookViewId="0">
      <pane xSplit="2" ySplit="1" topLeftCell="C2" activePane="bottomRight" state="frozenSplit"/>
      <selection pane="topRight"/>
      <selection pane="bottomLeft"/>
      <selection pane="bottomRight"/>
    </sheetView>
  </sheetViews>
  <sheetFormatPr defaultRowHeight="15"/>
  <cols>
    <col min="1" max="1" width="4.28515625" customWidth="1"/>
    <col min="2" max="2" width="24.140625" bestFit="1" customWidth="1"/>
    <col min="3" max="3" width="3.28515625" style="3" bestFit="1" customWidth="1"/>
    <col min="4" max="4" width="11.28515625" style="13" bestFit="1" customWidth="1"/>
    <col min="5" max="7" width="10" style="13" bestFit="1" customWidth="1"/>
    <col min="8" max="11" width="10.85546875" style="13" bestFit="1" customWidth="1"/>
    <col min="12" max="13" width="11.5703125" style="13" bestFit="1" customWidth="1"/>
    <col min="14" max="14" width="2.42578125" customWidth="1"/>
    <col min="15" max="15" width="11.28515625" bestFit="1" customWidth="1"/>
    <col min="16" max="16" width="16.42578125" bestFit="1" customWidth="1"/>
  </cols>
  <sheetData>
    <row r="1" spans="1:13" ht="16.5" thickBot="1">
      <c r="A1" s="93" t="s">
        <v>54</v>
      </c>
      <c r="C1" s="87" t="s">
        <v>51</v>
      </c>
      <c r="D1" s="94">
        <v>1</v>
      </c>
      <c r="E1" s="94">
        <v>2</v>
      </c>
      <c r="F1" s="94">
        <v>3</v>
      </c>
      <c r="G1" s="94">
        <v>4</v>
      </c>
      <c r="H1" s="94">
        <v>5</v>
      </c>
      <c r="I1" s="94">
        <v>6</v>
      </c>
      <c r="J1" s="94">
        <v>7</v>
      </c>
      <c r="K1" s="94">
        <v>8</v>
      </c>
      <c r="L1" s="94">
        <v>9</v>
      </c>
      <c r="M1" s="94">
        <v>10</v>
      </c>
    </row>
    <row r="2" spans="1:13" ht="8.25" customHeight="1">
      <c r="C2"/>
      <c r="D2"/>
      <c r="E2"/>
      <c r="F2"/>
      <c r="G2"/>
      <c r="H2"/>
      <c r="I2"/>
      <c r="J2"/>
      <c r="K2"/>
      <c r="L2"/>
      <c r="M2"/>
    </row>
    <row r="3" spans="1:13" s="4" customFormat="1" collapsed="1">
      <c r="A3" s="1" t="s">
        <v>55</v>
      </c>
      <c r="B3" s="14"/>
      <c r="C3" s="39"/>
      <c r="D3" s="1"/>
      <c r="E3" s="1"/>
      <c r="F3" s="1"/>
      <c r="G3" s="1"/>
      <c r="H3" s="1"/>
      <c r="I3" s="1"/>
      <c r="J3" s="1"/>
      <c r="K3" s="1"/>
      <c r="L3" s="1"/>
      <c r="M3" s="1"/>
    </row>
    <row r="4" spans="1:13" s="4" customFormat="1" collapsed="1">
      <c r="B4" s="30" t="s">
        <v>34</v>
      </c>
      <c r="C4" s="39"/>
      <c r="D4" s="1"/>
      <c r="E4" s="1"/>
      <c r="F4" s="1"/>
      <c r="G4" s="1"/>
      <c r="H4" s="1"/>
      <c r="I4" s="1"/>
      <c r="J4" s="1"/>
      <c r="K4" s="1"/>
      <c r="L4" s="1"/>
      <c r="M4" s="1"/>
    </row>
    <row r="5" spans="1:13" s="4" customFormat="1" collapsed="1">
      <c r="A5" s="14"/>
      <c r="B5" s="37" t="s">
        <v>35</v>
      </c>
      <c r="C5" s="39"/>
      <c r="D5" s="195">
        <f>'P&amp;L'!D8/'P&amp;L'!D$6</f>
        <v>0.94561933534743203</v>
      </c>
      <c r="E5" s="195">
        <f>'P&amp;L'!E8/'P&amp;L'!E$6</f>
        <v>0.9219088937093276</v>
      </c>
      <c r="F5" s="195">
        <f>'P&amp;L'!F8/'P&amp;L'!F$6</f>
        <v>0.87843380584995967</v>
      </c>
      <c r="G5" s="195">
        <f>'P&amp;L'!G8/'P&amp;L'!G$6</f>
        <v>0.88228430461837404</v>
      </c>
      <c r="H5" s="195">
        <f>'P&amp;L'!H8/'P&amp;L'!H$6</f>
        <v>0.88861344195008063</v>
      </c>
      <c r="I5" s="195">
        <f>'P&amp;L'!I8/'P&amp;L'!I$6</f>
        <v>0.807568537627807</v>
      </c>
      <c r="J5" s="195">
        <f>'P&amp;L'!J8/'P&amp;L'!J$6</f>
        <v>0.8330060968540709</v>
      </c>
      <c r="K5" s="195">
        <f>'P&amp;L'!K8/'P&amp;L'!K$6</f>
        <v>0.86195517212477268</v>
      </c>
      <c r="L5" s="195">
        <f>'P&amp;L'!L8/'P&amp;L'!L$6</f>
        <v>0.89387225076760113</v>
      </c>
      <c r="M5" s="195">
        <f>'P&amp;L'!M8/'P&amp;L'!M$6</f>
        <v>0.92424371577715891</v>
      </c>
    </row>
    <row r="6" spans="1:13" s="4" customFormat="1">
      <c r="A6" s="14"/>
      <c r="B6" s="37" t="s">
        <v>36</v>
      </c>
      <c r="C6" s="39"/>
      <c r="D6" s="195">
        <f>'P&amp;L'!D11/'P&amp;L'!D$6</f>
        <v>0.40317220543806648</v>
      </c>
      <c r="E6" s="195">
        <f>'P&amp;L'!E11/'P&amp;L'!E$6</f>
        <v>0.24464314057457279</v>
      </c>
      <c r="F6" s="195">
        <f>'P&amp;L'!F11/'P&amp;L'!F$6</f>
        <v>0.27065986559053934</v>
      </c>
      <c r="G6" s="195">
        <f>'P&amp;L'!G11/'P&amp;L'!G$6</f>
        <v>0.29198058451692527</v>
      </c>
      <c r="H6" s="195">
        <f>'P&amp;L'!H11/'P&amp;L'!H$6</f>
        <v>0.26400533574636265</v>
      </c>
      <c r="I6" s="195">
        <f>'P&amp;L'!I11/'P&amp;L'!I$6</f>
        <v>0.24436468393586624</v>
      </c>
      <c r="J6" s="195">
        <f>'P&amp;L'!J11/'P&amp;L'!J$6</f>
        <v>0.3506393373424137</v>
      </c>
      <c r="K6" s="195">
        <f>'P&amp;L'!K11/'P&amp;L'!K$6</f>
        <v>0.38605893345488962</v>
      </c>
      <c r="L6" s="195">
        <f>'P&amp;L'!L11/'P&amp;L'!L$6</f>
        <v>0.53748957240404527</v>
      </c>
      <c r="M6" s="195">
        <f>'P&amp;L'!M11/'P&amp;L'!M$6</f>
        <v>0.67575656040965026</v>
      </c>
    </row>
    <row r="7" spans="1:13" s="4" customFormat="1">
      <c r="A7" s="14"/>
      <c r="B7" s="37" t="s">
        <v>37</v>
      </c>
      <c r="C7" s="39"/>
      <c r="D7" s="195">
        <f>'P&amp;L'!D18/BalSheet!D30</f>
        <v>0.84264328959939505</v>
      </c>
      <c r="E7" s="195">
        <f>'P&amp;L'!E18/BalSheet!E30</f>
        <v>0.42219374196595583</v>
      </c>
      <c r="F7" s="195">
        <f>'P&amp;L'!F18/BalSheet!F30</f>
        <v>0.39416689361761514</v>
      </c>
      <c r="G7" s="195">
        <f>'P&amp;L'!G18/BalSheet!G30</f>
        <v>0.32686613108449969</v>
      </c>
      <c r="H7" s="195">
        <f>'P&amp;L'!H18/BalSheet!H30</f>
        <v>0.25672938124666211</v>
      </c>
      <c r="I7" s="195">
        <f>'P&amp;L'!I18/BalSheet!I30</f>
        <v>0.22314630979374875</v>
      </c>
      <c r="J7" s="195">
        <f>'P&amp;L'!J18/BalSheet!J30</f>
        <v>0.28935747352231611</v>
      </c>
      <c r="K7" s="195">
        <f>'P&amp;L'!K18/BalSheet!K30</f>
        <v>0.29839637653968026</v>
      </c>
      <c r="L7" s="195">
        <f>'P&amp;L'!L18/BalSheet!L30</f>
        <v>0.37357583288835644</v>
      </c>
      <c r="M7" s="195">
        <f>'P&amp;L'!M18/BalSheet!M30</f>
        <v>0.4206761042068114</v>
      </c>
    </row>
    <row r="8" spans="1:13" s="4" customFormat="1">
      <c r="A8" s="14"/>
      <c r="B8" s="37" t="s">
        <v>145</v>
      </c>
      <c r="C8" s="39"/>
      <c r="D8" s="195"/>
      <c r="E8" s="195">
        <f>'P&amp;L'!E18/(BalSheet!D15-BalSheet!D4-BalSheet!D21)</f>
        <v>6.1071836195508578</v>
      </c>
      <c r="F8" s="195">
        <f>'P&amp;L'!F18/(BalSheet!E15-BalSheet!E4-BalSheet!E21)</f>
        <v>9.402850726552181</v>
      </c>
      <c r="G8" s="195">
        <f>'P&amp;L'!G18/(BalSheet!F15-BalSheet!F4-BalSheet!F21)</f>
        <v>11.57516248348745</v>
      </c>
      <c r="H8" s="195">
        <f>'P&amp;L'!H18/(BalSheet!G15-BalSheet!G4-BalSheet!G21)</f>
        <v>12.224066050198152</v>
      </c>
      <c r="I8" s="195">
        <f>'P&amp;L'!I18/(BalSheet!H15-BalSheet!H4-BalSheet!H21)</f>
        <v>13.669402906208719</v>
      </c>
      <c r="J8" s="195">
        <f>'P&amp;L'!J18/(BalSheet!I15-BalSheet!I4-BalSheet!I21)</f>
        <v>24.930142668428008</v>
      </c>
      <c r="K8" s="195">
        <f>'P&amp;L'!K18/(BalSheet!J15-BalSheet!J4-BalSheet!J21)</f>
        <v>36.628081902245704</v>
      </c>
      <c r="L8" s="195">
        <f>'P&amp;L'!L18/(BalSheet!K15-BalSheet!K4-BalSheet!K21)</f>
        <v>73.179706737120213</v>
      </c>
      <c r="M8" s="195">
        <f>'P&amp;L'!M18/(BalSheet!L15-BalSheet!L4-BalSheet!L21)</f>
        <v>142.21344517833555</v>
      </c>
    </row>
    <row r="9" spans="1:13" s="4" customFormat="1">
      <c r="B9" s="30" t="s">
        <v>146</v>
      </c>
      <c r="C9" s="39"/>
      <c r="D9" s="1"/>
      <c r="E9" s="1"/>
      <c r="F9" s="1"/>
      <c r="G9" s="1"/>
      <c r="H9" s="1"/>
      <c r="I9" s="1"/>
      <c r="J9" s="1"/>
      <c r="K9" s="1"/>
      <c r="L9" s="1"/>
      <c r="M9" s="1"/>
    </row>
    <row r="10" spans="1:13" s="4" customFormat="1">
      <c r="A10" s="14"/>
      <c r="B10" s="37" t="s">
        <v>39</v>
      </c>
      <c r="C10" s="39"/>
      <c r="D10" s="196">
        <f>SUM(BalSheet!D7)/SUM(BalSheet!D21)</f>
        <v>13.360479687500002</v>
      </c>
      <c r="E10" s="196">
        <f>SUM(BalSheet!E7)/SUM(BalSheet!E21)</f>
        <v>24.181115625000004</v>
      </c>
      <c r="F10" s="196">
        <f>SUM(BalSheet!F7)/SUM(BalSheet!F21)</f>
        <v>40.841173437500004</v>
      </c>
      <c r="G10" s="196">
        <f>SUM(BalSheet!G7)/SUM(BalSheet!G21)</f>
        <v>61.347574999999999</v>
      </c>
      <c r="H10" s="196">
        <f>SUM(BalSheet!H7)/SUM(BalSheet!H21)</f>
        <v>82.997460937499994</v>
      </c>
      <c r="I10" s="196">
        <f>SUM(BalSheet!I7)/SUM(BalSheet!I21)</f>
        <v>107.20387812500002</v>
      </c>
      <c r="J10" s="196">
        <f>SUM(BalSheet!J7)/SUM(BalSheet!J21)</f>
        <v>151.3814984375</v>
      </c>
      <c r="K10" s="196">
        <f>SUM(BalSheet!K7)/SUM(BalSheet!K21)</f>
        <v>216.306009375</v>
      </c>
      <c r="L10" s="196">
        <f>SUM(BalSheet!L7)/SUM(BalSheet!L21)</f>
        <v>346.07328593749997</v>
      </c>
      <c r="M10" s="196">
        <f>SUM(BalSheet!M7)/SUM(BalSheet!M21)</f>
        <v>598.31370312500007</v>
      </c>
    </row>
    <row r="11" spans="1:13" s="4" customFormat="1">
      <c r="B11" s="30" t="s">
        <v>38</v>
      </c>
      <c r="C11" s="39"/>
      <c r="D11" s="1"/>
      <c r="E11" s="1"/>
      <c r="F11" s="1"/>
      <c r="G11" s="1"/>
      <c r="H11" s="1"/>
      <c r="I11" s="1"/>
      <c r="J11" s="1"/>
      <c r="K11" s="1"/>
      <c r="L11" s="1"/>
      <c r="M11" s="1"/>
    </row>
    <row r="12" spans="1:13" s="4" customFormat="1">
      <c r="A12" s="14"/>
      <c r="B12" s="37" t="s">
        <v>40</v>
      </c>
      <c r="C12" s="39"/>
      <c r="D12" s="197">
        <f>BalSheet!D24/BalSheet!D30</f>
        <v>7.1099971823149574E-2</v>
      </c>
      <c r="E12" s="197">
        <f>BalSheet!E24/BalSheet!E30</f>
        <v>4.1155735861513137E-2</v>
      </c>
      <c r="F12" s="197">
        <f>BalSheet!F24/BalSheet!F30</f>
        <v>2.4974756667789332E-2</v>
      </c>
      <c r="G12" s="197">
        <f>BalSheet!G24/BalSheet!G30</f>
        <v>1.6836210874710041E-2</v>
      </c>
      <c r="H12" s="197">
        <f>BalSheet!H24/BalSheet!H30</f>
        <v>1.2530893739408274E-2</v>
      </c>
      <c r="I12" s="197">
        <f>BalSheet!I24/BalSheet!I30</f>
        <v>9.7472638007238318E-3</v>
      </c>
      <c r="J12" s="197">
        <f>BalSheet!J24/BalSheet!J30</f>
        <v>6.9354181932976995E-3</v>
      </c>
      <c r="K12" s="197">
        <f>BalSheet!K24/BalSheet!K30</f>
        <v>4.8714921185212369E-3</v>
      </c>
      <c r="L12" s="197">
        <f>BalSheet!L24/BalSheet!L30</f>
        <v>3.0548538046100133E-3</v>
      </c>
      <c r="M12" s="197">
        <f>BalSheet!M24/BalSheet!M30</f>
        <v>1.7714502501092371E-3</v>
      </c>
    </row>
    <row r="13" spans="1:13" s="4" customFormat="1">
      <c r="A13" s="14"/>
      <c r="B13" s="37" t="s">
        <v>144</v>
      </c>
      <c r="C13" s="39"/>
      <c r="D13" s="197">
        <f>BalSheet!D24/BalSheet!D31</f>
        <v>6.6380332082474333E-2</v>
      </c>
      <c r="E13" s="197">
        <f>BalSheet!E24/BalSheet!E31</f>
        <v>3.9528895096042932E-2</v>
      </c>
      <c r="F13" s="197">
        <f>BalSheet!F24/BalSheet!F31</f>
        <v>2.4366216343690936E-2</v>
      </c>
      <c r="G13" s="197">
        <f>BalSheet!G24/BalSheet!G31</f>
        <v>1.6557446218626575E-2</v>
      </c>
      <c r="H13" s="197">
        <f>BalSheet!H24/BalSheet!H31</f>
        <v>1.2375813732586522E-2</v>
      </c>
      <c r="I13" s="197">
        <f>BalSheet!I24/BalSheet!I31</f>
        <v>9.6531717887848416E-3</v>
      </c>
      <c r="J13" s="197">
        <f>BalSheet!J24/BalSheet!J31</f>
        <v>6.8876494638967327E-3</v>
      </c>
      <c r="K13" s="197">
        <f>BalSheet!K24/BalSheet!K31</f>
        <v>4.8478757301104337E-3</v>
      </c>
      <c r="L13" s="197">
        <f>BalSheet!L24/BalSheet!L31</f>
        <v>3.0455500943172577E-3</v>
      </c>
      <c r="M13" s="197">
        <f>BalSheet!M24/BalSheet!M31</f>
        <v>1.7683177631654052E-3</v>
      </c>
    </row>
    <row r="14" spans="1:13" s="4" customFormat="1" ht="8.25" customHeight="1" thickBot="1">
      <c r="A14" s="40"/>
      <c r="B14" s="40"/>
      <c r="C14" s="41"/>
      <c r="D14" s="42"/>
      <c r="E14" s="42"/>
      <c r="F14" s="42"/>
      <c r="G14" s="42"/>
      <c r="H14" s="42"/>
      <c r="I14" s="42"/>
      <c r="J14" s="42"/>
      <c r="K14" s="42"/>
      <c r="L14" s="42"/>
      <c r="M14" s="42"/>
    </row>
    <row r="15" spans="1:13" s="4" customFormat="1" ht="8.25" customHeight="1" thickTop="1">
      <c r="C15" s="3"/>
      <c r="D15" s="10"/>
      <c r="E15" s="10"/>
      <c r="F15" s="10"/>
      <c r="G15" s="10"/>
      <c r="H15" s="10"/>
      <c r="I15" s="10"/>
      <c r="J15" s="10"/>
      <c r="K15" s="10"/>
      <c r="L15" s="10"/>
      <c r="M15" s="10"/>
    </row>
    <row r="16" spans="1:13" s="4" customFormat="1">
      <c r="A16" s="22" t="s">
        <v>87</v>
      </c>
      <c r="B16" s="23"/>
      <c r="C16" s="186"/>
      <c r="D16" s="22"/>
      <c r="E16" s="22"/>
      <c r="F16" s="22"/>
      <c r="G16" s="22"/>
      <c r="H16" s="22"/>
      <c r="I16" s="22"/>
      <c r="J16" s="22"/>
      <c r="K16" s="22"/>
      <c r="L16" s="22"/>
      <c r="M16" s="22"/>
    </row>
    <row r="17" spans="1:16" s="4" customFormat="1">
      <c r="A17" s="23"/>
      <c r="B17" s="187" t="s">
        <v>5</v>
      </c>
      <c r="C17" s="186"/>
      <c r="D17" s="188">
        <f>'P&amp;L'!D23</f>
        <v>160140</v>
      </c>
      <c r="E17" s="188">
        <f>'P&amp;L'!E23</f>
        <v>138720</v>
      </c>
      <c r="F17" s="188">
        <f>'P&amp;L'!F23</f>
        <v>213564.6</v>
      </c>
      <c r="G17" s="188">
        <f>'P&amp;L'!G23</f>
        <v>262897.8</v>
      </c>
      <c r="H17" s="188">
        <f>'P&amp;L'!H23</f>
        <v>277634.39999999997</v>
      </c>
      <c r="I17" s="188">
        <f>'P&amp;L'!I23</f>
        <v>310458</v>
      </c>
      <c r="J17" s="188">
        <f>'P&amp;L'!J23</f>
        <v>566189.4</v>
      </c>
      <c r="K17" s="188">
        <f>'P&amp;L'!K23</f>
        <v>831849.6</v>
      </c>
      <c r="L17" s="188">
        <f>'P&amp;L'!L23</f>
        <v>1661937</v>
      </c>
      <c r="M17" s="188">
        <f>'P&amp;L'!M23</f>
        <v>3229693.1999999997</v>
      </c>
    </row>
    <row r="18" spans="1:16" s="4" customFormat="1">
      <c r="A18" s="23"/>
      <c r="B18" s="198" t="s">
        <v>41</v>
      </c>
      <c r="C18" s="186"/>
      <c r="D18" s="189">
        <f>BalSheet!D15-(BalSheet!D21-BalSheet!D20)</f>
        <v>191024.14</v>
      </c>
      <c r="E18" s="189">
        <f>BalSheet!E15-(BalSheet!E21-BalSheet!E20)</f>
        <v>329528.28000000003</v>
      </c>
      <c r="F18" s="189">
        <f>BalSheet!F15-(BalSheet!F21-BalSheet!F20)</f>
        <v>542777.02</v>
      </c>
      <c r="G18" s="189">
        <f>BalSheet!G15-(BalSheet!G21-BalSheet!G20)</f>
        <v>805258.96</v>
      </c>
      <c r="H18" s="189">
        <f>BalSheet!H15-(BalSheet!H21-BalSheet!H20)</f>
        <v>1082377.5</v>
      </c>
      <c r="I18" s="189">
        <f>BalSheet!I15-(BalSheet!I21-BalSheet!I20)</f>
        <v>1392219.6400000001</v>
      </c>
      <c r="J18" s="189">
        <f>BalSheet!J15-(BalSheet!J21-BalSheet!J20)</f>
        <v>1957693.1800000002</v>
      </c>
      <c r="K18" s="189">
        <f>BalSheet!K15-(BalSheet!K21-BalSheet!K20)</f>
        <v>2788726.92</v>
      </c>
      <c r="L18" s="189">
        <f>BalSheet!L15-(BalSheet!L21-BalSheet!L20)</f>
        <v>4449748.0599999996</v>
      </c>
      <c r="M18" s="189">
        <f>BalSheet!M15-(BalSheet!M21-BalSheet!M20)</f>
        <v>7678425.4000000004</v>
      </c>
    </row>
    <row r="19" spans="1:16" s="4" customFormat="1">
      <c r="A19" s="23"/>
      <c r="B19" s="199" t="s">
        <v>42</v>
      </c>
      <c r="C19" s="190"/>
      <c r="D19" s="191">
        <f>'P&amp;L'!$C$27*KPI!D18</f>
        <v>47756.035000000003</v>
      </c>
      <c r="E19" s="191">
        <f t="shared" ref="E19" si="0">D19</f>
        <v>47756.035000000003</v>
      </c>
      <c r="F19" s="191">
        <f t="shared" ref="F19" si="1">E19</f>
        <v>47756.035000000003</v>
      </c>
      <c r="G19" s="191">
        <f t="shared" ref="G19" si="2">F19</f>
        <v>47756.035000000003</v>
      </c>
      <c r="H19" s="191">
        <f t="shared" ref="H19" si="3">G19</f>
        <v>47756.035000000003</v>
      </c>
      <c r="I19" s="191">
        <f t="shared" ref="I19" si="4">H19</f>
        <v>47756.035000000003</v>
      </c>
      <c r="J19" s="191">
        <f t="shared" ref="J19" si="5">I19</f>
        <v>47756.035000000003</v>
      </c>
      <c r="K19" s="191">
        <f t="shared" ref="K19" si="6">J19</f>
        <v>47756.035000000003</v>
      </c>
      <c r="L19" s="191">
        <f t="shared" ref="L19" si="7">K19</f>
        <v>47756.035000000003</v>
      </c>
      <c r="M19" s="191">
        <f>E19</f>
        <v>47756.035000000003</v>
      </c>
    </row>
    <row r="20" spans="1:16" s="184" customFormat="1">
      <c r="A20" s="192"/>
      <c r="B20" s="192" t="s">
        <v>43</v>
      </c>
      <c r="C20" s="193"/>
      <c r="D20" s="194">
        <f>D17-D19</f>
        <v>112383.965</v>
      </c>
      <c r="E20" s="194">
        <f t="shared" ref="E20:M20" si="8">E17-E19</f>
        <v>90963.964999999997</v>
      </c>
      <c r="F20" s="194">
        <f t="shared" si="8"/>
        <v>165808.565</v>
      </c>
      <c r="G20" s="194">
        <f t="shared" si="8"/>
        <v>215141.76499999998</v>
      </c>
      <c r="H20" s="194">
        <f t="shared" si="8"/>
        <v>229878.36499999996</v>
      </c>
      <c r="I20" s="194">
        <f t="shared" si="8"/>
        <v>262701.96499999997</v>
      </c>
      <c r="J20" s="194">
        <f t="shared" si="8"/>
        <v>518433.36499999999</v>
      </c>
      <c r="K20" s="194">
        <f t="shared" si="8"/>
        <v>784093.56499999994</v>
      </c>
      <c r="L20" s="194">
        <f t="shared" si="8"/>
        <v>1614180.9650000001</v>
      </c>
      <c r="M20" s="194">
        <f t="shared" si="8"/>
        <v>3181937.1649999996</v>
      </c>
    </row>
    <row r="21" spans="1:16" s="4" customFormat="1" ht="8.25" customHeight="1" thickBot="1">
      <c r="A21" s="40"/>
      <c r="B21" s="40"/>
      <c r="C21" s="41"/>
      <c r="D21" s="42"/>
      <c r="E21" s="42"/>
      <c r="F21" s="42"/>
      <c r="G21" s="42"/>
      <c r="H21" s="42"/>
      <c r="I21" s="42"/>
      <c r="J21" s="42"/>
      <c r="K21" s="42"/>
      <c r="L21" s="42"/>
      <c r="M21" s="42"/>
    </row>
    <row r="22" spans="1:16" s="4" customFormat="1" ht="8.25" customHeight="1" thickTop="1">
      <c r="C22" s="3"/>
      <c r="D22" s="10"/>
      <c r="E22" s="10"/>
      <c r="F22" s="10"/>
      <c r="G22" s="10"/>
      <c r="H22" s="10"/>
      <c r="I22" s="10"/>
      <c r="J22" s="10"/>
      <c r="K22" s="10"/>
      <c r="L22" s="10"/>
      <c r="M22" s="10"/>
    </row>
    <row r="23" spans="1:16" s="96" customFormat="1">
      <c r="A23" s="26" t="s">
        <v>156</v>
      </c>
      <c r="B23" s="95"/>
    </row>
    <row r="24" spans="1:16" s="96" customFormat="1">
      <c r="B24" s="209" t="s">
        <v>120</v>
      </c>
      <c r="C24" s="210"/>
      <c r="D24" s="211">
        <f>RevExp!D3</f>
        <v>12</v>
      </c>
      <c r="E24" s="211">
        <f>RevExp!E3</f>
        <v>15</v>
      </c>
      <c r="F24" s="211">
        <f>RevExp!F3</f>
        <v>18</v>
      </c>
      <c r="G24" s="211">
        <f>RevExp!G3</f>
        <v>18</v>
      </c>
      <c r="H24" s="211">
        <f>RevExp!H3</f>
        <v>18</v>
      </c>
      <c r="I24" s="211">
        <f>RevExp!I3</f>
        <v>18</v>
      </c>
      <c r="J24" s="211">
        <f>RevExp!J3</f>
        <v>18</v>
      </c>
      <c r="K24" s="211">
        <f>RevExp!K3</f>
        <v>18</v>
      </c>
      <c r="L24" s="211">
        <f>RevExp!L3</f>
        <v>18</v>
      </c>
      <c r="M24" s="211">
        <f>RevExp!M3</f>
        <v>18</v>
      </c>
      <c r="N24" s="98"/>
    </row>
    <row r="25" spans="1:16" s="96" customFormat="1">
      <c r="A25" s="212"/>
      <c r="B25" s="223" t="s">
        <v>86</v>
      </c>
      <c r="D25" s="213">
        <f>'P&amp;L'!D4</f>
        <v>234000</v>
      </c>
      <c r="E25" s="213">
        <f>'P&amp;L'!E4</f>
        <v>340800</v>
      </c>
      <c r="F25" s="213">
        <f>'P&amp;L'!F4</f>
        <v>492336</v>
      </c>
      <c r="G25" s="213">
        <f>'P&amp;L'!G4</f>
        <v>588845</v>
      </c>
      <c r="H25" s="213">
        <f>'P&amp;L'!H4</f>
        <v>724879</v>
      </c>
      <c r="I25" s="213">
        <f>'P&amp;L'!I4</f>
        <v>952571</v>
      </c>
      <c r="J25" s="213">
        <f>'P&amp;L'!J4</f>
        <v>1348234</v>
      </c>
      <c r="K25" s="213">
        <f>'P&amp;L'!K4</f>
        <v>2030380</v>
      </c>
      <c r="L25" s="213">
        <f>'P&amp;L'!L4</f>
        <v>3308736</v>
      </c>
      <c r="M25" s="213">
        <f>'P&amp;L'!M4</f>
        <v>5763858</v>
      </c>
      <c r="N25" s="183"/>
    </row>
    <row r="26" spans="1:16" s="96" customFormat="1">
      <c r="A26" s="212"/>
      <c r="B26" s="224" t="s">
        <v>137</v>
      </c>
      <c r="C26" s="210"/>
      <c r="D26" s="214">
        <f>'P&amp;L'!D7</f>
        <v>36000</v>
      </c>
      <c r="E26" s="214">
        <f>'P&amp;L'!E7</f>
        <v>73800</v>
      </c>
      <c r="F26" s="214">
        <f>'P&amp;L'!F7</f>
        <v>159870</v>
      </c>
      <c r="G26" s="214">
        <f>'P&amp;L'!G7</f>
        <v>176651</v>
      </c>
      <c r="H26" s="214">
        <f>'P&amp;L'!H7</f>
        <v>195228</v>
      </c>
      <c r="I26" s="214">
        <f>'P&amp;L'!I7</f>
        <v>407464</v>
      </c>
      <c r="J26" s="214">
        <f>'P&amp;L'!J7</f>
        <v>449418</v>
      </c>
      <c r="K26" s="214">
        <f>'P&amp;L'!K7</f>
        <v>495747</v>
      </c>
      <c r="L26" s="214">
        <f>'P&amp;L'!L7</f>
        <v>546918</v>
      </c>
      <c r="M26" s="214">
        <f>'P&amp;L'!M7</f>
        <v>603446</v>
      </c>
      <c r="N26" s="183"/>
    </row>
    <row r="27" spans="1:16" s="96" customFormat="1">
      <c r="A27" s="212"/>
      <c r="B27" s="223" t="s">
        <v>64</v>
      </c>
      <c r="D27" s="215">
        <f t="shared" ref="D27:M27" si="9">D25/D24</f>
        <v>19500</v>
      </c>
      <c r="E27" s="215">
        <f t="shared" si="9"/>
        <v>22720</v>
      </c>
      <c r="F27" s="215">
        <f t="shared" si="9"/>
        <v>27352</v>
      </c>
      <c r="G27" s="215">
        <f t="shared" si="9"/>
        <v>32713.611111111109</v>
      </c>
      <c r="H27" s="215">
        <f t="shared" si="9"/>
        <v>40271.055555555555</v>
      </c>
      <c r="I27" s="215">
        <f t="shared" si="9"/>
        <v>52920.611111111109</v>
      </c>
      <c r="J27" s="215">
        <f t="shared" si="9"/>
        <v>74901.888888888891</v>
      </c>
      <c r="K27" s="215">
        <f t="shared" si="9"/>
        <v>112798.88888888889</v>
      </c>
      <c r="L27" s="215">
        <f t="shared" si="9"/>
        <v>183818.66666666666</v>
      </c>
      <c r="M27" s="215">
        <f t="shared" si="9"/>
        <v>320214.33333333331</v>
      </c>
      <c r="N27" s="183"/>
    </row>
    <row r="28" spans="1:16" s="96" customFormat="1">
      <c r="A28" s="216"/>
      <c r="B28" s="225" t="s">
        <v>138</v>
      </c>
      <c r="C28" s="217"/>
      <c r="D28" s="215">
        <f>D26/D24</f>
        <v>3000</v>
      </c>
      <c r="E28" s="215">
        <f t="shared" ref="E28:M28" si="10">E27/E24</f>
        <v>1514.6666666666667</v>
      </c>
      <c r="F28" s="215">
        <f t="shared" si="10"/>
        <v>1519.5555555555557</v>
      </c>
      <c r="G28" s="215">
        <f t="shared" si="10"/>
        <v>1817.4228395061727</v>
      </c>
      <c r="H28" s="215">
        <f t="shared" si="10"/>
        <v>2237.2808641975307</v>
      </c>
      <c r="I28" s="215">
        <f t="shared" si="10"/>
        <v>2940.0339506172841</v>
      </c>
      <c r="J28" s="215">
        <f t="shared" si="10"/>
        <v>4161.2160493827159</v>
      </c>
      <c r="K28" s="215">
        <f t="shared" si="10"/>
        <v>6266.6049382716046</v>
      </c>
      <c r="L28" s="215">
        <f t="shared" si="10"/>
        <v>10212.148148148148</v>
      </c>
      <c r="M28" s="215">
        <f t="shared" si="10"/>
        <v>17789.685185185182</v>
      </c>
      <c r="N28" s="183"/>
    </row>
    <row r="29" spans="1:16" s="96" customFormat="1">
      <c r="B29" s="218" t="s">
        <v>136</v>
      </c>
      <c r="C29" s="219"/>
      <c r="D29" s="220">
        <f>'P&amp;L'!D5</f>
        <v>428000</v>
      </c>
      <c r="E29" s="220">
        <f>'P&amp;L'!E5</f>
        <v>604250</v>
      </c>
      <c r="F29" s="220">
        <f>'P&amp;L'!F5</f>
        <v>822750</v>
      </c>
      <c r="G29" s="220">
        <f>'P&amp;L'!G5</f>
        <v>911813</v>
      </c>
      <c r="H29" s="220">
        <f>'P&amp;L'!H5</f>
        <v>1027828</v>
      </c>
      <c r="I29" s="220">
        <f>'P&amp;L'!I5</f>
        <v>1164879</v>
      </c>
      <c r="J29" s="220">
        <f>'P&amp;L'!J5</f>
        <v>1342990</v>
      </c>
      <c r="K29" s="220">
        <f>'P&amp;L'!K5</f>
        <v>1560823</v>
      </c>
      <c r="L29" s="220">
        <f>'P&amp;L'!L5</f>
        <v>1844657</v>
      </c>
      <c r="M29" s="220">
        <f>'P&amp;L'!M5</f>
        <v>2201765</v>
      </c>
      <c r="N29" s="183"/>
    </row>
    <row r="30" spans="1:16" s="96" customFormat="1">
      <c r="B30" s="216" t="s">
        <v>62</v>
      </c>
      <c r="C30" s="217"/>
      <c r="D30" s="215">
        <f>'P&amp;L'!D10</f>
        <v>359100</v>
      </c>
      <c r="E30" s="215">
        <f>'P&amp;L'!E10</f>
        <v>640050</v>
      </c>
      <c r="F30" s="215">
        <f>'P&amp;L'!F10</f>
        <v>799275</v>
      </c>
      <c r="G30" s="215">
        <f>'P&amp;L'!G10</f>
        <v>885844</v>
      </c>
      <c r="H30" s="215">
        <f>'P&amp;L'!H10</f>
        <v>1094755</v>
      </c>
      <c r="I30" s="215">
        <f>'P&amp;L'!I10</f>
        <v>1192556</v>
      </c>
      <c r="J30" s="215">
        <f>'P&amp;L'!J10</f>
        <v>1298157</v>
      </c>
      <c r="K30" s="215">
        <f>'P&amp;L'!K10</f>
        <v>1709040</v>
      </c>
      <c r="L30" s="215">
        <f>'P&amp;L'!L10</f>
        <v>1836580</v>
      </c>
      <c r="M30" s="215">
        <f>'P&amp;L'!M10</f>
        <v>1979355</v>
      </c>
      <c r="N30" s="183"/>
    </row>
    <row r="31" spans="1:16" s="96" customFormat="1">
      <c r="A31" s="97" t="s">
        <v>141</v>
      </c>
      <c r="N31" s="183"/>
      <c r="O31" s="202" t="s">
        <v>147</v>
      </c>
      <c r="P31" s="100" t="s">
        <v>63</v>
      </c>
    </row>
    <row r="32" spans="1:16" s="96" customFormat="1">
      <c r="B32" s="226" t="s">
        <v>140</v>
      </c>
      <c r="D32" s="221">
        <f t="shared" ref="D32:M32" si="11">MAX(0,D30/(D27-D28))-D24</f>
        <v>9.7636363636363619</v>
      </c>
      <c r="E32" s="221">
        <f t="shared" si="11"/>
        <v>15.183444416498997</v>
      </c>
      <c r="F32" s="221">
        <f t="shared" si="11"/>
        <v>12.940742047038178</v>
      </c>
      <c r="G32" s="221">
        <f t="shared" si="11"/>
        <v>10.671627458139639</v>
      </c>
      <c r="H32" s="221">
        <f t="shared" si="11"/>
        <v>10.783758879676711</v>
      </c>
      <c r="I32" s="221">
        <f t="shared" si="11"/>
        <v>5.86038873001716</v>
      </c>
      <c r="J32" s="221">
        <f t="shared" si="11"/>
        <v>0.35092808553306298</v>
      </c>
      <c r="K32" s="221">
        <f t="shared" si="11"/>
        <v>-1.9575390987372394</v>
      </c>
      <c r="L32" s="221">
        <f t="shared" si="11"/>
        <v>-7.4210193506985576</v>
      </c>
      <c r="M32" s="221">
        <f t="shared" si="11"/>
        <v>-11.455047357679732</v>
      </c>
      <c r="N32" s="183"/>
      <c r="O32" s="206" t="s">
        <v>150</v>
      </c>
      <c r="P32" s="101" t="s">
        <v>157</v>
      </c>
    </row>
    <row r="33" spans="1:16" s="96" customFormat="1">
      <c r="B33" s="226" t="s">
        <v>139</v>
      </c>
      <c r="D33" s="222">
        <f t="shared" ref="D33:M33" si="12">D32*D27</f>
        <v>190390.90909090906</v>
      </c>
      <c r="E33" s="222">
        <f t="shared" si="12"/>
        <v>344967.85714285722</v>
      </c>
      <c r="F33" s="222">
        <f t="shared" si="12"/>
        <v>353955.17647058825</v>
      </c>
      <c r="G33" s="222">
        <f t="shared" si="12"/>
        <v>349107.4705882353</v>
      </c>
      <c r="H33" s="222">
        <f t="shared" si="12"/>
        <v>434273.35294117633</v>
      </c>
      <c r="I33" s="222">
        <f t="shared" si="12"/>
        <v>310135.35294117645</v>
      </c>
      <c r="J33" s="222">
        <f t="shared" si="12"/>
        <v>26285.17647058798</v>
      </c>
      <c r="K33" s="222">
        <f t="shared" si="12"/>
        <v>-220808.23529411756</v>
      </c>
      <c r="L33" s="222">
        <f t="shared" si="12"/>
        <v>-1364121.8823529412</v>
      </c>
      <c r="M33" s="222">
        <f t="shared" si="12"/>
        <v>-3668070.3529411764</v>
      </c>
      <c r="N33" s="183"/>
      <c r="O33" s="203" t="s">
        <v>151</v>
      </c>
      <c r="P33" s="205" t="s">
        <v>158</v>
      </c>
    </row>
    <row r="34" spans="1:16" s="96" customFormat="1">
      <c r="A34" s="97" t="s">
        <v>143</v>
      </c>
      <c r="D34" s="183"/>
      <c r="E34" s="183"/>
      <c r="F34" s="183"/>
      <c r="G34" s="183"/>
      <c r="H34" s="183"/>
      <c r="I34" s="183"/>
      <c r="J34" s="183"/>
      <c r="K34" s="183"/>
      <c r="L34" s="183"/>
      <c r="M34" s="183"/>
      <c r="O34" s="203" t="s">
        <v>152</v>
      </c>
      <c r="P34" s="207" t="s">
        <v>149</v>
      </c>
    </row>
    <row r="35" spans="1:16" s="96" customFormat="1">
      <c r="B35" s="226" t="s">
        <v>140</v>
      </c>
      <c r="D35" s="221">
        <f t="shared" ref="D35:M35" si="13">(D30-D29)/(D27-D28)</f>
        <v>-4.1757575757575758</v>
      </c>
      <c r="E35" s="221">
        <f t="shared" si="13"/>
        <v>1.6882545271629779</v>
      </c>
      <c r="F35" s="221">
        <f t="shared" si="13"/>
        <v>-0.90874094592502108</v>
      </c>
      <c r="G35" s="221">
        <f t="shared" si="13"/>
        <v>-0.84052439646306609</v>
      </c>
      <c r="H35" s="221">
        <f t="shared" si="13"/>
        <v>1.7596728314007457</v>
      </c>
      <c r="I35" s="221">
        <f t="shared" si="13"/>
        <v>0.55375510993251886</v>
      </c>
      <c r="J35" s="221">
        <f t="shared" si="13"/>
        <v>-0.63376552979239331</v>
      </c>
      <c r="K35" s="221">
        <f t="shared" si="13"/>
        <v>1.3912871713959079</v>
      </c>
      <c r="L35" s="221">
        <f t="shared" si="13"/>
        <v>-4.652475073473944E-2</v>
      </c>
      <c r="M35" s="221">
        <f t="shared" si="13"/>
        <v>-0.73542286107264798</v>
      </c>
      <c r="O35" s="203" t="s">
        <v>153</v>
      </c>
      <c r="P35" s="207" t="s">
        <v>148</v>
      </c>
    </row>
    <row r="36" spans="1:16">
      <c r="B36" s="226" t="s">
        <v>139</v>
      </c>
      <c r="C36" s="96"/>
      <c r="D36" s="222">
        <f t="shared" ref="D36:M36" si="14">D35*D27</f>
        <v>-81427.272727272721</v>
      </c>
      <c r="E36" s="222">
        <f t="shared" si="14"/>
        <v>38357.142857142855</v>
      </c>
      <c r="F36" s="222">
        <f t="shared" si="14"/>
        <v>-24855.882352941178</v>
      </c>
      <c r="G36" s="222">
        <f t="shared" si="14"/>
        <v>-27496.588235294119</v>
      </c>
      <c r="H36" s="222">
        <f t="shared" si="14"/>
        <v>70863.882352941175</v>
      </c>
      <c r="I36" s="222">
        <f t="shared" si="14"/>
        <v>29305.058823529413</v>
      </c>
      <c r="J36" s="222">
        <f t="shared" si="14"/>
        <v>-47470.235294117643</v>
      </c>
      <c r="K36" s="222">
        <f t="shared" si="14"/>
        <v>156935.64705882352</v>
      </c>
      <c r="L36" s="222">
        <f t="shared" si="14"/>
        <v>-8552.1176470588234</v>
      </c>
      <c r="M36" s="222">
        <f t="shared" si="14"/>
        <v>-235492.94117647057</v>
      </c>
      <c r="O36" s="204" t="s">
        <v>154</v>
      </c>
      <c r="P36" s="208" t="s">
        <v>155</v>
      </c>
    </row>
    <row r="37" spans="1:16">
      <c r="A37" s="185" t="s">
        <v>142</v>
      </c>
      <c r="C37" s="135"/>
      <c r="D37" s="22"/>
      <c r="E37" s="22"/>
      <c r="F37" s="22"/>
      <c r="G37" s="22"/>
      <c r="H37" s="22"/>
      <c r="I37" s="22"/>
      <c r="J37" s="22"/>
      <c r="K37" s="22"/>
      <c r="L37" s="22"/>
      <c r="M37" s="22"/>
    </row>
    <row r="38" spans="1:16">
      <c r="C38" s="2"/>
    </row>
    <row r="39" spans="1:16">
      <c r="C39" s="2"/>
    </row>
    <row r="40" spans="1:16">
      <c r="C40" s="2"/>
    </row>
    <row r="41" spans="1:16">
      <c r="C41" s="2"/>
    </row>
    <row r="42" spans="1:16">
      <c r="C42" s="2"/>
    </row>
    <row r="43" spans="1:16">
      <c r="C43" s="2"/>
    </row>
    <row r="44" spans="1:16">
      <c r="A44" s="23"/>
      <c r="B44" s="23"/>
      <c r="C44" s="186"/>
      <c r="D44" s="22"/>
      <c r="E44" s="22"/>
      <c r="F44" s="22"/>
      <c r="G44" s="22"/>
      <c r="H44" s="22"/>
      <c r="I44" s="22"/>
      <c r="J44" s="22"/>
      <c r="K44" s="22"/>
      <c r="L44" s="22"/>
      <c r="M44" s="22"/>
    </row>
    <row r="45" spans="1:16">
      <c r="A45" s="23"/>
      <c r="B45" s="23"/>
      <c r="C45" s="186"/>
      <c r="D45" s="22"/>
      <c r="E45" s="22"/>
      <c r="F45" s="22"/>
      <c r="G45" s="22"/>
      <c r="H45" s="22"/>
      <c r="I45" s="22"/>
      <c r="J45" s="22"/>
      <c r="K45" s="22"/>
      <c r="L45" s="22"/>
      <c r="M45" s="22"/>
    </row>
  </sheetData>
  <sheetProtection algorithmName="SHA-512" hashValue="eK2E5h26oPGUP/Q9w+sZy3WLReS4k9ZU7YOeg6ie4ySc8Y88N8fjl6T8qUOqUTK0XSRQJXQJ35zVLFjGTLjeUQ==" saltValue="LnbtSsG0/ESg4KcZmFxIIw==" spinCount="100000" sheet="1" objects="1" scenarios="1"/>
  <pageMargins left="0.7" right="0.7" top="0.75" bottom="0.75" header="0.3" footer="0.3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RevExp</vt:lpstr>
      <vt:lpstr>Debt</vt:lpstr>
      <vt:lpstr>P&amp;L</vt:lpstr>
      <vt:lpstr>BalSheet</vt:lpstr>
      <vt:lpstr>CashFlow</vt:lpstr>
      <vt:lpstr>KPI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Scott Beber</dc:creator>
  <cp:lastModifiedBy>Scott Beber</cp:lastModifiedBy>
  <cp:lastPrinted>2014-01-11T06:46:11Z</cp:lastPrinted>
  <dcterms:created xsi:type="dcterms:W3CDTF">2012-04-13T23:06:43Z</dcterms:created>
  <dcterms:modified xsi:type="dcterms:W3CDTF">2018-10-24T16:23:43Z</dcterms:modified>
</cp:coreProperties>
</file>