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ml.chartshapes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ttsFiles\Documents\Work\0 - ExcelModels\Website\Models\Models to approve\"/>
    </mc:Choice>
  </mc:AlternateContent>
  <xr:revisionPtr revIDLastSave="0" documentId="8_{B385FBBB-593E-40DC-BE5D-37CFBFED0271}" xr6:coauthVersionLast="37" xr6:coauthVersionMax="37" xr10:uidLastSave="{00000000-0000-0000-0000-000000000000}"/>
  <bookViews>
    <workbookView xWindow="9600" yWindow="-15" windowWidth="9630" windowHeight="7710" tabRatio="892" xr2:uid="{00000000-000D-0000-FFFF-FFFF00000000}"/>
  </bookViews>
  <sheets>
    <sheet name="READ ME" sheetId="31" r:id="rId1"/>
    <sheet name="Presentation" sheetId="29" r:id="rId2"/>
    <sheet name="Comparables" sheetId="30" r:id="rId3"/>
    <sheet name="P&amp;L" sheetId="1" r:id="rId4"/>
    <sheet name="BalSheet" sheetId="6" r:id="rId5"/>
    <sheet name="CashFlow" sheetId="13" r:id="rId6"/>
    <sheet name="Ratios" sheetId="24" r:id="rId7"/>
    <sheet name="Debt" sheetId="23" r:id="rId8"/>
    <sheet name="Biz1drivers" sheetId="25" r:id="rId9"/>
    <sheet name="Biz1pl" sheetId="12" r:id="rId10"/>
    <sheet name="Biz1bs" sheetId="7" r:id="rId11"/>
    <sheet name="Biz1cf" sheetId="14" r:id="rId12"/>
    <sheet name="Biz2drivers" sheetId="26" r:id="rId13"/>
    <sheet name="Biz2pl" sheetId="4" r:id="rId14"/>
    <sheet name="Biz2bs" sheetId="10" r:id="rId15"/>
    <sheet name="Biz2cf" sheetId="20" r:id="rId16"/>
    <sheet name="CORPpl" sheetId="15" r:id="rId17"/>
    <sheet name="CORPbs" sheetId="16" r:id="rId18"/>
    <sheet name="CORPcf" sheetId="22" r:id="rId19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P16" i="29" l="1"/>
  <c r="E6" i="22"/>
  <c r="F6" i="22"/>
  <c r="G6" i="22"/>
  <c r="H6" i="22"/>
  <c r="I6" i="22"/>
  <c r="J6" i="22"/>
  <c r="K6" i="22"/>
  <c r="L6" i="22"/>
  <c r="M6" i="22"/>
  <c r="N6" i="22"/>
  <c r="O6" i="22"/>
  <c r="P6" i="22"/>
  <c r="Q6" i="22"/>
  <c r="D6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D10" i="22"/>
  <c r="E14" i="15"/>
  <c r="F14" i="15"/>
  <c r="G14" i="15"/>
  <c r="H14" i="15"/>
  <c r="M14" i="15"/>
  <c r="N14" i="15"/>
  <c r="O14" i="15"/>
  <c r="P14" i="15"/>
  <c r="Q14" i="15"/>
  <c r="D14" i="15"/>
  <c r="B18" i="23"/>
  <c r="F18" i="23"/>
  <c r="G18" i="23" s="1"/>
  <c r="H18" i="23" s="1"/>
  <c r="I18" i="23" s="1"/>
  <c r="J18" i="23" s="1"/>
  <c r="K18" i="23" s="1"/>
  <c r="L18" i="23" s="1"/>
  <c r="M18" i="23" s="1"/>
  <c r="N18" i="23" s="1"/>
  <c r="O18" i="23" s="1"/>
  <c r="B19" i="23"/>
  <c r="G19" i="23"/>
  <c r="H19" i="23" s="1"/>
  <c r="I19" i="23" s="1"/>
  <c r="J19" i="23" s="1"/>
  <c r="K19" i="23" s="1"/>
  <c r="L19" i="23" s="1"/>
  <c r="M19" i="23" s="1"/>
  <c r="N19" i="23" s="1"/>
  <c r="O19" i="23" s="1"/>
  <c r="B27" i="23"/>
  <c r="B28" i="23"/>
  <c r="G34" i="23"/>
  <c r="B40" i="23"/>
  <c r="B41" i="23"/>
  <c r="E21" i="16"/>
  <c r="F21" i="16"/>
  <c r="G21" i="16"/>
  <c r="H21" i="16"/>
  <c r="M21" i="16"/>
  <c r="N21" i="16"/>
  <c r="O21" i="16"/>
  <c r="P21" i="16"/>
  <c r="Q21" i="16"/>
  <c r="D21" i="16"/>
  <c r="E7" i="16"/>
  <c r="F7" i="16"/>
  <c r="G7" i="16"/>
  <c r="H7" i="16"/>
  <c r="M7" i="16"/>
  <c r="N7" i="16"/>
  <c r="O7" i="16"/>
  <c r="P7" i="16"/>
  <c r="Q7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D8" i="16"/>
  <c r="D7" i="16"/>
  <c r="E21" i="10"/>
  <c r="F21" i="10"/>
  <c r="G21" i="10"/>
  <c r="H21" i="10"/>
  <c r="D21" i="10"/>
  <c r="E7" i="10"/>
  <c r="F7" i="10"/>
  <c r="G7" i="10"/>
  <c r="H7" i="10"/>
  <c r="E8" i="10"/>
  <c r="F8" i="10"/>
  <c r="G8" i="10"/>
  <c r="H8" i="10"/>
  <c r="D8" i="10"/>
  <c r="D7" i="10"/>
  <c r="E21" i="7"/>
  <c r="F21" i="7"/>
  <c r="G21" i="7"/>
  <c r="H21" i="7"/>
  <c r="D21" i="7"/>
  <c r="E7" i="7"/>
  <c r="F7" i="7"/>
  <c r="G7" i="7"/>
  <c r="H7" i="7"/>
  <c r="D7" i="7"/>
  <c r="F8" i="7"/>
  <c r="G8" i="7"/>
  <c r="H8" i="7"/>
  <c r="E8" i="7"/>
  <c r="D8" i="7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50" i="24"/>
  <c r="D49" i="24"/>
  <c r="D48" i="24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E39" i="24"/>
  <c r="F39" i="24"/>
  <c r="G39" i="24"/>
  <c r="H39" i="24"/>
  <c r="I39" i="24"/>
  <c r="J39" i="24"/>
  <c r="K39" i="24"/>
  <c r="L39" i="24"/>
  <c r="M39" i="24"/>
  <c r="N39" i="24"/>
  <c r="O39" i="24"/>
  <c r="P39" i="24"/>
  <c r="Q39" i="24"/>
  <c r="E40" i="24"/>
  <c r="F40" i="24"/>
  <c r="G40" i="24"/>
  <c r="H40" i="24"/>
  <c r="I40" i="24"/>
  <c r="J40" i="24"/>
  <c r="K40" i="24"/>
  <c r="L40" i="24"/>
  <c r="M40" i="24"/>
  <c r="N40" i="24"/>
  <c r="O40" i="24"/>
  <c r="P40" i="24"/>
  <c r="Q40" i="24"/>
  <c r="E43" i="24"/>
  <c r="F43" i="24"/>
  <c r="G43" i="24"/>
  <c r="H43" i="24"/>
  <c r="I43" i="24"/>
  <c r="J43" i="24"/>
  <c r="K43" i="24"/>
  <c r="L43" i="24"/>
  <c r="M43" i="24"/>
  <c r="N43" i="24"/>
  <c r="O43" i="24"/>
  <c r="P43" i="24"/>
  <c r="Q43" i="24"/>
  <c r="E44" i="24"/>
  <c r="F44" i="24"/>
  <c r="G44" i="24"/>
  <c r="H44" i="24"/>
  <c r="I44" i="24"/>
  <c r="J44" i="24"/>
  <c r="K44" i="24"/>
  <c r="L44" i="24"/>
  <c r="M44" i="24"/>
  <c r="N44" i="24"/>
  <c r="O44" i="24"/>
  <c r="P44" i="24"/>
  <c r="Q44" i="24"/>
  <c r="E45" i="24"/>
  <c r="F45" i="24"/>
  <c r="G45" i="24"/>
  <c r="H45" i="24"/>
  <c r="I45" i="24"/>
  <c r="J45" i="24"/>
  <c r="K45" i="24"/>
  <c r="L45" i="24"/>
  <c r="M45" i="24"/>
  <c r="N45" i="24"/>
  <c r="O45" i="24"/>
  <c r="P45" i="24"/>
  <c r="Q45" i="24"/>
  <c r="D45" i="24"/>
  <c r="D44" i="24"/>
  <c r="D43" i="24"/>
  <c r="D40" i="24"/>
  <c r="D39" i="24"/>
  <c r="D38" i="24"/>
  <c r="O17" i="22" l="1"/>
  <c r="G17" i="22"/>
  <c r="Q17" i="22"/>
  <c r="P17" i="22"/>
  <c r="H17" i="22"/>
  <c r="F17" i="22"/>
  <c r="N17" i="22"/>
  <c r="E17" i="22"/>
  <c r="FA8" i="29"/>
  <c r="Q41" i="16"/>
  <c r="P41" i="16"/>
  <c r="O41" i="16"/>
  <c r="N41" i="16"/>
  <c r="M41" i="16"/>
  <c r="H41" i="16"/>
  <c r="G41" i="16"/>
  <c r="F41" i="16"/>
  <c r="E41" i="16"/>
  <c r="H41" i="7"/>
  <c r="G41" i="7"/>
  <c r="F41" i="7"/>
  <c r="E41" i="7"/>
  <c r="D41" i="7"/>
  <c r="FA9" i="29" s="1"/>
  <c r="H41" i="10"/>
  <c r="G41" i="10"/>
  <c r="F41" i="10"/>
  <c r="E41" i="10"/>
  <c r="D41" i="10"/>
  <c r="FA10" i="29" s="1"/>
  <c r="D25" i="16"/>
  <c r="E16" i="23"/>
  <c r="F16" i="23" s="1"/>
  <c r="G16" i="23" s="1"/>
  <c r="H16" i="23" s="1"/>
  <c r="I16" i="23" s="1"/>
  <c r="J16" i="23" s="1"/>
  <c r="E17" i="23"/>
  <c r="F17" i="23" s="1"/>
  <c r="G17" i="23" s="1"/>
  <c r="H17" i="23" s="1"/>
  <c r="I17" i="23" s="1"/>
  <c r="L37" i="16"/>
  <c r="L33" i="16"/>
  <c r="L23" i="16"/>
  <c r="K23" i="16"/>
  <c r="J23" i="16"/>
  <c r="I23" i="16"/>
  <c r="L16" i="16"/>
  <c r="K16" i="16"/>
  <c r="J16" i="16"/>
  <c r="I16" i="16"/>
  <c r="L6" i="16"/>
  <c r="K6" i="16"/>
  <c r="J6" i="16"/>
  <c r="I6" i="16"/>
  <c r="L23" i="7"/>
  <c r="K23" i="7"/>
  <c r="J23" i="7"/>
  <c r="I23" i="7"/>
  <c r="L23" i="10"/>
  <c r="K23" i="10"/>
  <c r="J23" i="10"/>
  <c r="I23" i="10"/>
  <c r="FA12" i="29" l="1"/>
  <c r="F25" i="16"/>
  <c r="I25" i="16"/>
  <c r="E25" i="16"/>
  <c r="G25" i="16"/>
  <c r="H25" i="16"/>
  <c r="FA7" i="29" l="1"/>
  <c r="FB8" i="29"/>
  <c r="FC8" i="29"/>
  <c r="FD8" i="29"/>
  <c r="FE8" i="29"/>
  <c r="FB9" i="29"/>
  <c r="FC9" i="29"/>
  <c r="FD9" i="29"/>
  <c r="FE9" i="29"/>
  <c r="FB10" i="29"/>
  <c r="FC10" i="29"/>
  <c r="FD10" i="29"/>
  <c r="FE10" i="29"/>
  <c r="CJ28" i="29"/>
  <c r="CJ27" i="29"/>
  <c r="CJ26" i="29"/>
  <c r="F128" i="1"/>
  <c r="E128" i="1"/>
  <c r="D128" i="1"/>
  <c r="E127" i="1"/>
  <c r="F127" i="1"/>
  <c r="D127" i="1"/>
  <c r="E126" i="1"/>
  <c r="F126" i="1"/>
  <c r="D126" i="1"/>
  <c r="D14" i="4"/>
  <c r="E14" i="4"/>
  <c r="F14" i="4"/>
  <c r="D14" i="12"/>
  <c r="E14" i="12"/>
  <c r="F14" i="12"/>
  <c r="FD12" i="29" l="1"/>
  <c r="FE12" i="29"/>
  <c r="FB12" i="29"/>
  <c r="FC12" i="29"/>
  <c r="D125" i="1"/>
  <c r="E125" i="1"/>
  <c r="F125" i="1"/>
  <c r="Q11" i="23" l="1"/>
  <c r="L26" i="23"/>
  <c r="L14" i="15" s="1"/>
  <c r="K26" i="23"/>
  <c r="K14" i="15" s="1"/>
  <c r="J26" i="23"/>
  <c r="J14" i="15" s="1"/>
  <c r="I26" i="23"/>
  <c r="I14" i="15" s="1"/>
  <c r="Q173" i="13" l="1"/>
  <c r="Q174" i="13"/>
  <c r="Q175" i="13"/>
  <c r="Q127" i="13"/>
  <c r="Q128" i="13"/>
  <c r="Q129" i="13"/>
  <c r="Q132" i="13"/>
  <c r="Q133" i="13"/>
  <c r="Q134" i="13"/>
  <c r="Q137" i="13"/>
  <c r="Q138" i="13"/>
  <c r="Q139" i="13"/>
  <c r="Q142" i="13"/>
  <c r="Q143" i="13"/>
  <c r="Q144" i="13"/>
  <c r="Q147" i="13"/>
  <c r="Q148" i="13"/>
  <c r="Q149" i="13"/>
  <c r="Q152" i="13"/>
  <c r="Q153" i="13"/>
  <c r="Q154" i="13"/>
  <c r="Q157" i="13"/>
  <c r="Q158" i="13"/>
  <c r="Q159" i="13"/>
  <c r="Q162" i="13"/>
  <c r="Q163" i="13"/>
  <c r="Q164" i="13"/>
  <c r="Q80" i="13"/>
  <c r="Q81" i="13"/>
  <c r="Q82" i="13"/>
  <c r="Q85" i="13"/>
  <c r="Q86" i="13"/>
  <c r="Q87" i="13"/>
  <c r="Q90" i="13"/>
  <c r="Q91" i="13"/>
  <c r="Q92" i="13"/>
  <c r="Q102" i="13"/>
  <c r="Q107" i="13"/>
  <c r="Q21" i="13"/>
  <c r="Q22" i="13"/>
  <c r="Q23" i="13"/>
  <c r="Q131" i="13" l="1"/>
  <c r="Q151" i="13"/>
  <c r="Q84" i="13"/>
  <c r="Q161" i="13"/>
  <c r="Q126" i="13"/>
  <c r="Q79" i="13"/>
  <c r="Q146" i="13"/>
  <c r="Q141" i="13"/>
  <c r="Q20" i="13"/>
  <c r="Q89" i="13"/>
  <c r="Q156" i="13"/>
  <c r="Q136" i="13"/>
  <c r="Q172" i="13"/>
  <c r="N36" i="4" l="1"/>
  <c r="E9" i="26"/>
  <c r="F9" i="26"/>
  <c r="O36" i="4" s="1"/>
  <c r="G9" i="26"/>
  <c r="P36" i="4" s="1"/>
  <c r="H9" i="26"/>
  <c r="Q36" i="4" s="1"/>
  <c r="D9" i="26"/>
  <c r="M36" i="4" s="1"/>
  <c r="J36" i="4" s="1"/>
  <c r="E20" i="25"/>
  <c r="N36" i="12" s="1"/>
  <c r="F20" i="25"/>
  <c r="O36" i="12" s="1"/>
  <c r="G20" i="25"/>
  <c r="P36" i="12" s="1"/>
  <c r="H20" i="25"/>
  <c r="Q36" i="12" s="1"/>
  <c r="D20" i="25"/>
  <c r="M36" i="12" s="1"/>
  <c r="J36" i="12" s="1"/>
  <c r="Q115" i="6"/>
  <c r="Q116" i="6"/>
  <c r="Q117" i="6"/>
  <c r="Q120" i="6"/>
  <c r="Q121" i="6"/>
  <c r="Q122" i="6"/>
  <c r="Q125" i="6"/>
  <c r="Q126" i="6"/>
  <c r="Q127" i="6"/>
  <c r="Q130" i="6"/>
  <c r="Q131" i="6"/>
  <c r="Q132" i="6"/>
  <c r="Q135" i="6"/>
  <c r="Q136" i="6"/>
  <c r="Q137" i="6"/>
  <c r="Q145" i="6"/>
  <c r="Q146" i="6"/>
  <c r="Q147" i="6"/>
  <c r="Q80" i="6"/>
  <c r="Q83" i="6"/>
  <c r="Q84" i="6"/>
  <c r="Q85" i="6"/>
  <c r="Q88" i="6"/>
  <c r="Q89" i="6"/>
  <c r="Q90" i="6"/>
  <c r="Q93" i="6"/>
  <c r="Q94" i="6"/>
  <c r="Q95" i="6"/>
  <c r="Q99" i="6"/>
  <c r="Q103" i="6"/>
  <c r="Q104" i="6"/>
  <c r="Q105" i="6"/>
  <c r="Q56" i="6"/>
  <c r="Q57" i="6"/>
  <c r="Q58" i="6"/>
  <c r="Q61" i="6"/>
  <c r="Q62" i="6"/>
  <c r="Q63" i="6"/>
  <c r="Q36" i="6"/>
  <c r="Q37" i="6"/>
  <c r="Q38" i="6"/>
  <c r="Q41" i="6"/>
  <c r="Q42" i="6"/>
  <c r="Q43" i="6"/>
  <c r="Q46" i="6"/>
  <c r="Q47" i="6"/>
  <c r="Q48" i="6"/>
  <c r="Q18" i="6"/>
  <c r="Q23" i="6"/>
  <c r="Q26" i="6"/>
  <c r="Q27" i="6"/>
  <c r="Q28" i="6"/>
  <c r="Q31" i="6"/>
  <c r="Q32" i="6"/>
  <c r="Q33" i="6"/>
  <c r="Q11" i="6"/>
  <c r="Q12" i="6"/>
  <c r="Q13" i="6"/>
  <c r="Q6" i="6"/>
  <c r="Q7" i="6"/>
  <c r="Q8" i="6"/>
  <c r="Q163" i="6" l="1"/>
  <c r="Q140" i="6"/>
  <c r="Q150" i="6" s="1"/>
  <c r="Q52" i="6"/>
  <c r="Q142" i="6"/>
  <c r="Q152" i="6" s="1"/>
  <c r="Q53" i="6"/>
  <c r="Q68" i="6" s="1"/>
  <c r="Q129" i="6"/>
  <c r="Q124" i="6"/>
  <c r="Q60" i="6"/>
  <c r="Q40" i="6"/>
  <c r="Q144" i="6"/>
  <c r="Q82" i="6"/>
  <c r="Q141" i="6"/>
  <c r="Q151" i="6" s="1"/>
  <c r="Q114" i="6"/>
  <c r="Q87" i="6"/>
  <c r="Q134" i="6"/>
  <c r="Q30" i="6"/>
  <c r="Q25" i="6"/>
  <c r="Q45" i="6"/>
  <c r="Q102" i="6"/>
  <c r="Q119" i="6"/>
  <c r="I36" i="12"/>
  <c r="L36" i="12"/>
  <c r="K36" i="12"/>
  <c r="I36" i="4"/>
  <c r="L36" i="4"/>
  <c r="K36" i="4"/>
  <c r="Q55" i="6"/>
  <c r="Q51" i="6"/>
  <c r="Q50" i="6" l="1"/>
  <c r="Q139" i="6"/>
  <c r="Q149" i="6"/>
  <c r="L9" i="15" l="1"/>
  <c r="K9" i="15"/>
  <c r="J9" i="15"/>
  <c r="I9" i="15"/>
  <c r="L6" i="15"/>
  <c r="L21" i="16" s="1"/>
  <c r="K6" i="15"/>
  <c r="K21" i="16" s="1"/>
  <c r="J6" i="15"/>
  <c r="J21" i="16" s="1"/>
  <c r="I6" i="15"/>
  <c r="I21" i="16" s="1"/>
  <c r="I17" i="22" s="1"/>
  <c r="L5" i="15"/>
  <c r="L7" i="16" s="1"/>
  <c r="K5" i="15"/>
  <c r="K7" i="16" s="1"/>
  <c r="K17" i="16" s="1"/>
  <c r="J5" i="15"/>
  <c r="J7" i="16" s="1"/>
  <c r="J17" i="16" s="1"/>
  <c r="I5" i="15"/>
  <c r="I7" i="16" s="1"/>
  <c r="I17" i="16" s="1"/>
  <c r="L12" i="4"/>
  <c r="K12" i="4"/>
  <c r="J12" i="4"/>
  <c r="I12" i="4"/>
  <c r="L20" i="4"/>
  <c r="K20" i="4"/>
  <c r="J20" i="4"/>
  <c r="I20" i="4"/>
  <c r="L18" i="4"/>
  <c r="K18" i="4"/>
  <c r="J18" i="4"/>
  <c r="I18" i="4"/>
  <c r="L11" i="4"/>
  <c r="K11" i="4"/>
  <c r="J11" i="4"/>
  <c r="I11" i="4"/>
  <c r="L12" i="12"/>
  <c r="K12" i="12"/>
  <c r="J12" i="12"/>
  <c r="I12" i="12"/>
  <c r="L18" i="12"/>
  <c r="K18" i="12"/>
  <c r="J18" i="12"/>
  <c r="I18" i="12"/>
  <c r="L11" i="12"/>
  <c r="K11" i="12"/>
  <c r="J11" i="12"/>
  <c r="I11" i="12"/>
  <c r="P115" i="6"/>
  <c r="P116" i="6"/>
  <c r="P117" i="6"/>
  <c r="P120" i="6"/>
  <c r="P121" i="6"/>
  <c r="P122" i="6"/>
  <c r="P125" i="6"/>
  <c r="P126" i="6"/>
  <c r="P127" i="6"/>
  <c r="P130" i="6"/>
  <c r="P131" i="6"/>
  <c r="P132" i="6"/>
  <c r="Q4" i="15"/>
  <c r="Q4" i="4"/>
  <c r="Q4" i="12"/>
  <c r="H4" i="12"/>
  <c r="I4" i="12"/>
  <c r="J4" i="12"/>
  <c r="K4" i="12"/>
  <c r="L4" i="12"/>
  <c r="M4" i="12"/>
  <c r="N4" i="12"/>
  <c r="O4" i="12"/>
  <c r="P4" i="12"/>
  <c r="I36" i="16"/>
  <c r="I38" i="16" s="1"/>
  <c r="J36" i="16"/>
  <c r="J38" i="16" s="1"/>
  <c r="K36" i="16"/>
  <c r="K38" i="16" s="1"/>
  <c r="L7" i="22"/>
  <c r="K14" i="7"/>
  <c r="J14" i="7"/>
  <c r="I14" i="7"/>
  <c r="P4" i="15"/>
  <c r="O4" i="15"/>
  <c r="N4" i="15"/>
  <c r="M4" i="15"/>
  <c r="L4" i="15"/>
  <c r="K4" i="15"/>
  <c r="J4" i="15"/>
  <c r="I4" i="15"/>
  <c r="H4" i="15"/>
  <c r="P4" i="4"/>
  <c r="O4" i="4"/>
  <c r="N4" i="4"/>
  <c r="M4" i="4"/>
  <c r="L4" i="4"/>
  <c r="K4" i="4"/>
  <c r="J4" i="4"/>
  <c r="I4" i="4"/>
  <c r="H4" i="4"/>
  <c r="D24" i="12"/>
  <c r="D24" i="15"/>
  <c r="D24" i="4"/>
  <c r="H23" i="12"/>
  <c r="G23" i="12"/>
  <c r="F23" i="12"/>
  <c r="E23" i="12"/>
  <c r="D23" i="12"/>
  <c r="P23" i="15"/>
  <c r="Q23" i="15"/>
  <c r="H23" i="4"/>
  <c r="G23" i="4"/>
  <c r="F23" i="4"/>
  <c r="E23" i="4"/>
  <c r="D23" i="4"/>
  <c r="O23" i="15"/>
  <c r="N23" i="15"/>
  <c r="M23" i="15"/>
  <c r="E23" i="15"/>
  <c r="F23" i="15"/>
  <c r="G23" i="15"/>
  <c r="H23" i="15"/>
  <c r="D23" i="15"/>
  <c r="Q28" i="20"/>
  <c r="Q106" i="13" s="1"/>
  <c r="P28" i="20"/>
  <c r="O28" i="20"/>
  <c r="N28" i="20"/>
  <c r="M28" i="20"/>
  <c r="Q27" i="20"/>
  <c r="Q101" i="13" s="1"/>
  <c r="P27" i="20"/>
  <c r="O27" i="20"/>
  <c r="N27" i="20"/>
  <c r="M27" i="20"/>
  <c r="J27" i="20" s="1"/>
  <c r="J23" i="4" s="1"/>
  <c r="N27" i="14"/>
  <c r="O27" i="14"/>
  <c r="P27" i="14"/>
  <c r="Q27" i="14"/>
  <c r="Q100" i="13" s="1"/>
  <c r="M27" i="14"/>
  <c r="I27" i="14" s="1"/>
  <c r="I23" i="12" s="1"/>
  <c r="F35" i="23"/>
  <c r="H35" i="23"/>
  <c r="Q35" i="23"/>
  <c r="P35" i="23"/>
  <c r="O35" i="23"/>
  <c r="N35" i="23"/>
  <c r="M35" i="23"/>
  <c r="L35" i="23"/>
  <c r="K35" i="23"/>
  <c r="J35" i="23"/>
  <c r="I35" i="23"/>
  <c r="E35" i="23"/>
  <c r="Q75" i="6"/>
  <c r="D35" i="23"/>
  <c r="I20" i="10"/>
  <c r="I20" i="7"/>
  <c r="E20" i="10"/>
  <c r="F20" i="10"/>
  <c r="H20" i="10"/>
  <c r="P20" i="10"/>
  <c r="Q20" i="10"/>
  <c r="Q74" i="6" s="1"/>
  <c r="D20" i="10"/>
  <c r="E20" i="7"/>
  <c r="F20" i="7"/>
  <c r="G20" i="7"/>
  <c r="H20" i="7"/>
  <c r="P20" i="7"/>
  <c r="Q20" i="7"/>
  <c r="Q73" i="6" s="1"/>
  <c r="D20" i="7"/>
  <c r="J11" i="23"/>
  <c r="K11" i="23"/>
  <c r="I11" i="23"/>
  <c r="F11" i="23"/>
  <c r="E11" i="23"/>
  <c r="D20" i="23"/>
  <c r="E20" i="23"/>
  <c r="E25" i="7"/>
  <c r="F25" i="7"/>
  <c r="P25" i="7"/>
  <c r="Q25" i="7"/>
  <c r="Q98" i="6" s="1"/>
  <c r="D25" i="7"/>
  <c r="L27" i="14" l="1"/>
  <c r="L23" i="12" s="1"/>
  <c r="M17" i="22"/>
  <c r="L17" i="22"/>
  <c r="K17" i="22"/>
  <c r="J17" i="22"/>
  <c r="L27" i="20"/>
  <c r="L23" i="4" s="1"/>
  <c r="M32" i="22"/>
  <c r="K27" i="20"/>
  <c r="K23" i="4" s="1"/>
  <c r="P114" i="6"/>
  <c r="P129" i="6"/>
  <c r="P119" i="6"/>
  <c r="Q72" i="6"/>
  <c r="K27" i="14"/>
  <c r="K23" i="12" s="1"/>
  <c r="J27" i="14"/>
  <c r="J23" i="12" s="1"/>
  <c r="Q99" i="13"/>
  <c r="I27" i="20"/>
  <c r="I23" i="4" s="1"/>
  <c r="P124" i="6"/>
  <c r="R4" i="15"/>
  <c r="S4" i="15" s="1"/>
  <c r="R4" i="4"/>
  <c r="S4" i="4" s="1"/>
  <c r="T4" i="15" l="1"/>
  <c r="T4" i="4"/>
  <c r="J20" i="10"/>
  <c r="J20" i="7"/>
  <c r="U4" i="15" l="1"/>
  <c r="U4" i="4"/>
  <c r="V4" i="4" s="1"/>
  <c r="K20" i="10"/>
  <c r="K20" i="7"/>
  <c r="V4" i="15" l="1"/>
  <c r="W4" i="15" s="1"/>
  <c r="W4" i="4"/>
  <c r="X4" i="4" s="1"/>
  <c r="L20" i="10"/>
  <c r="L20" i="7"/>
  <c r="X4" i="15" l="1"/>
  <c r="Y4" i="15" s="1"/>
  <c r="Y4" i="4"/>
  <c r="Z4" i="4" s="1"/>
  <c r="AA4" i="4" s="1"/>
  <c r="M20" i="10"/>
  <c r="M32" i="20" s="1"/>
  <c r="M20" i="7"/>
  <c r="M32" i="14" s="1"/>
  <c r="Z4" i="15" l="1"/>
  <c r="AA4" i="15" s="1"/>
  <c r="N20" i="10"/>
  <c r="O20" i="10"/>
  <c r="O20" i="7"/>
  <c r="N20" i="7"/>
  <c r="EN9" i="29" l="1"/>
  <c r="EN18" i="29" s="1"/>
  <c r="EN10" i="29"/>
  <c r="EN19" i="29" s="1"/>
  <c r="EN11" i="29"/>
  <c r="EN20" i="29" s="1"/>
  <c r="G113" i="1"/>
  <c r="F113" i="1"/>
  <c r="E113" i="1"/>
  <c r="D113" i="1"/>
  <c r="G112" i="1"/>
  <c r="F112" i="1"/>
  <c r="E112" i="1"/>
  <c r="D112" i="1"/>
  <c r="G111" i="1"/>
  <c r="F111" i="1"/>
  <c r="E111" i="1"/>
  <c r="D111" i="1"/>
  <c r="I23" i="15" l="1"/>
  <c r="J23" i="15"/>
  <c r="K23" i="15"/>
  <c r="L23" i="15"/>
  <c r="E29" i="15" l="1"/>
  <c r="DN10" i="29"/>
  <c r="DM10" i="29"/>
  <c r="DL10" i="29"/>
  <c r="DK11" i="29"/>
  <c r="DK12" i="29"/>
  <c r="DY22" i="29"/>
  <c r="DY23" i="29"/>
  <c r="DY6" i="29"/>
  <c r="DY7" i="29"/>
  <c r="AV4" i="29"/>
  <c r="BJ5" i="29"/>
  <c r="BK5" i="29"/>
  <c r="BJ6" i="29"/>
  <c r="BK6" i="29"/>
  <c r="BJ7" i="29"/>
  <c r="BK7" i="29"/>
  <c r="AV7" i="29"/>
  <c r="CW8" i="29"/>
  <c r="AY18" i="29"/>
  <c r="E29" i="4" l="1"/>
  <c r="AV8" i="29"/>
  <c r="BA18" i="29" s="1"/>
  <c r="BL6" i="29"/>
  <c r="BL7" i="29"/>
  <c r="BL5" i="29"/>
  <c r="BL8" i="29"/>
  <c r="P141" i="1" l="1"/>
  <c r="Q141" i="1"/>
  <c r="P142" i="1"/>
  <c r="Q142" i="1"/>
  <c r="N28" i="14"/>
  <c r="O28" i="14"/>
  <c r="P28" i="14"/>
  <c r="Q28" i="14"/>
  <c r="Q105" i="13" s="1"/>
  <c r="Q104" i="13" s="1"/>
  <c r="M28" i="14"/>
  <c r="D57" i="25"/>
  <c r="M23" i="12" s="1"/>
  <c r="H57" i="25"/>
  <c r="Q23" i="12" s="1"/>
  <c r="E57" i="25"/>
  <c r="N23" i="12" s="1"/>
  <c r="F26" i="26"/>
  <c r="O23" i="4" s="1"/>
  <c r="E26" i="26"/>
  <c r="N23" i="4" s="1"/>
  <c r="H26" i="26"/>
  <c r="Q23" i="4" s="1"/>
  <c r="G26" i="26"/>
  <c r="P23" i="4" s="1"/>
  <c r="D26" i="26"/>
  <c r="M23" i="4" s="1"/>
  <c r="L14" i="4"/>
  <c r="K14" i="4"/>
  <c r="J14" i="4"/>
  <c r="I14" i="4"/>
  <c r="H14" i="4"/>
  <c r="G14" i="4"/>
  <c r="Q14" i="4"/>
  <c r="P14" i="4"/>
  <c r="O14" i="4"/>
  <c r="N14" i="4"/>
  <c r="M14" i="4"/>
  <c r="R13" i="26"/>
  <c r="Q9" i="4" s="1"/>
  <c r="Q13" i="26"/>
  <c r="P9" i="4" s="1"/>
  <c r="P13" i="26"/>
  <c r="O9" i="4" s="1"/>
  <c r="O13" i="26"/>
  <c r="N9" i="4" s="1"/>
  <c r="N13" i="26"/>
  <c r="M9" i="4" s="1"/>
  <c r="K9" i="4" l="1"/>
  <c r="I9" i="4"/>
  <c r="J9" i="4"/>
  <c r="L9" i="4"/>
  <c r="Q140" i="1"/>
  <c r="P140" i="1"/>
  <c r="G57" i="25"/>
  <c r="P23" i="12" s="1"/>
  <c r="F57" i="25"/>
  <c r="O23" i="12" s="1"/>
  <c r="H31" i="26" l="1"/>
  <c r="H43" i="26" s="1"/>
  <c r="G31" i="26"/>
  <c r="G43" i="26" s="1"/>
  <c r="F31" i="26"/>
  <c r="F43" i="26" s="1"/>
  <c r="E31" i="26"/>
  <c r="E43" i="26" s="1"/>
  <c r="D31" i="26"/>
  <c r="D43" i="26" s="1"/>
  <c r="H30" i="26"/>
  <c r="H42" i="26" s="1"/>
  <c r="G30" i="26"/>
  <c r="G42" i="26" s="1"/>
  <c r="F30" i="26"/>
  <c r="F42" i="26" s="1"/>
  <c r="E30" i="26"/>
  <c r="E42" i="26" s="1"/>
  <c r="D30" i="26"/>
  <c r="D42" i="26" s="1"/>
  <c r="H29" i="26"/>
  <c r="H41" i="26" s="1"/>
  <c r="G29" i="26"/>
  <c r="G41" i="26" s="1"/>
  <c r="F29" i="26"/>
  <c r="F41" i="26" s="1"/>
  <c r="E29" i="26"/>
  <c r="E41" i="26" s="1"/>
  <c r="D29" i="26"/>
  <c r="D35" i="26" s="1"/>
  <c r="A43" i="26"/>
  <c r="A42" i="26"/>
  <c r="A41" i="26"/>
  <c r="A37" i="26"/>
  <c r="A36" i="26"/>
  <c r="A35" i="26"/>
  <c r="A31" i="26"/>
  <c r="A30" i="26"/>
  <c r="A29" i="26"/>
  <c r="A19" i="26"/>
  <c r="A18" i="26"/>
  <c r="A17" i="26"/>
  <c r="A14" i="26"/>
  <c r="A13" i="26"/>
  <c r="A12" i="26"/>
  <c r="E36" i="26" l="1"/>
  <c r="D36" i="26"/>
  <c r="D41" i="26"/>
  <c r="F35" i="26"/>
  <c r="D37" i="26"/>
  <c r="E37" i="26"/>
  <c r="E32" i="26"/>
  <c r="O6" i="26" s="1"/>
  <c r="N5" i="4" s="1"/>
  <c r="N7" i="10" s="1"/>
  <c r="E35" i="26"/>
  <c r="D32" i="26"/>
  <c r="N6" i="26" s="1"/>
  <c r="M5" i="4" s="1"/>
  <c r="M7" i="10" s="1"/>
  <c r="J5" i="4" l="1"/>
  <c r="J7" i="10" s="1"/>
  <c r="L5" i="4"/>
  <c r="L7" i="10" s="1"/>
  <c r="I5" i="4"/>
  <c r="I7" i="10" s="1"/>
  <c r="K5" i="4"/>
  <c r="K7" i="10" s="1"/>
  <c r="F36" i="26"/>
  <c r="G35" i="26"/>
  <c r="F37" i="26"/>
  <c r="D44" i="26"/>
  <c r="N8" i="26" s="1"/>
  <c r="N9" i="26" s="1"/>
  <c r="D38" i="26"/>
  <c r="N7" i="26" s="1"/>
  <c r="M6" i="4" s="1"/>
  <c r="E38" i="26"/>
  <c r="O7" i="26" s="1"/>
  <c r="N6" i="4" s="1"/>
  <c r="N21" i="10" l="1"/>
  <c r="N8" i="10"/>
  <c r="M8" i="10"/>
  <c r="M21" i="10"/>
  <c r="K6" i="4"/>
  <c r="J6" i="4"/>
  <c r="I6" i="4"/>
  <c r="L6" i="4"/>
  <c r="G36" i="26"/>
  <c r="H35" i="26"/>
  <c r="E44" i="26"/>
  <c r="O8" i="26" s="1"/>
  <c r="O9" i="26" s="1"/>
  <c r="F32" i="26"/>
  <c r="P6" i="26" s="1"/>
  <c r="O5" i="4" s="1"/>
  <c r="O7" i="10" s="1"/>
  <c r="M41" i="10" l="1"/>
  <c r="K8" i="10"/>
  <c r="K21" i="10"/>
  <c r="I21" i="10"/>
  <c r="I8" i="10"/>
  <c r="N41" i="10"/>
  <c r="J21" i="10"/>
  <c r="J8" i="10"/>
  <c r="L8" i="10"/>
  <c r="L21" i="10"/>
  <c r="G37" i="26"/>
  <c r="F38" i="26"/>
  <c r="P7" i="26" s="1"/>
  <c r="O6" i="4" s="1"/>
  <c r="G32" i="26"/>
  <c r="Q6" i="26" s="1"/>
  <c r="F44" i="26"/>
  <c r="P8" i="26" s="1"/>
  <c r="P9" i="26" s="1"/>
  <c r="O8" i="10" l="1"/>
  <c r="O21" i="10"/>
  <c r="P5" i="4"/>
  <c r="P7" i="10" s="1"/>
  <c r="H36" i="26"/>
  <c r="H37" i="26"/>
  <c r="G38" i="26"/>
  <c r="Q7" i="26" s="1"/>
  <c r="P6" i="4" s="1"/>
  <c r="H32" i="26"/>
  <c r="R6" i="26" s="1"/>
  <c r="G44" i="26"/>
  <c r="Q8" i="26" s="1"/>
  <c r="Q9" i="26" s="1"/>
  <c r="P21" i="10" l="1"/>
  <c r="P8" i="10"/>
  <c r="O41" i="10"/>
  <c r="FH10" i="29" s="1"/>
  <c r="Q5" i="4"/>
  <c r="Q7" i="10" s="1"/>
  <c r="H44" i="26"/>
  <c r="R8" i="26" s="1"/>
  <c r="R9" i="26" s="1"/>
  <c r="H38" i="26"/>
  <c r="R7" i="26" s="1"/>
  <c r="Q6" i="4" s="1"/>
  <c r="P14" i="12"/>
  <c r="Q14" i="12"/>
  <c r="G14" i="12"/>
  <c r="H14" i="12"/>
  <c r="I14" i="12"/>
  <c r="J14" i="12"/>
  <c r="K14" i="12"/>
  <c r="L14" i="12"/>
  <c r="O14" i="12"/>
  <c r="N14" i="12"/>
  <c r="M14" i="12"/>
  <c r="P41" i="10" l="1"/>
  <c r="FI10" i="29" s="1"/>
  <c r="Q17" i="6"/>
  <c r="Q21" i="10"/>
  <c r="Q79" i="6" s="1"/>
  <c r="Q109" i="6" s="1"/>
  <c r="Q156" i="6" s="1"/>
  <c r="Q8" i="10"/>
  <c r="Q22" i="6" s="1"/>
  <c r="L27" i="25"/>
  <c r="Q41" i="10" l="1"/>
  <c r="FJ10" i="29" s="1"/>
  <c r="Q162" i="6"/>
  <c r="Q67" i="6"/>
  <c r="H109" i="25"/>
  <c r="G109" i="25"/>
  <c r="F109" i="25"/>
  <c r="E109" i="25"/>
  <c r="D109" i="25"/>
  <c r="D61" i="25"/>
  <c r="D78" i="25" s="1"/>
  <c r="D62" i="25"/>
  <c r="D63" i="25"/>
  <c r="D64" i="25"/>
  <c r="D81" i="25" s="1"/>
  <c r="D99" i="25" s="1"/>
  <c r="D65" i="25"/>
  <c r="N12" i="25" s="1"/>
  <c r="D66" i="25"/>
  <c r="D67" i="25"/>
  <c r="D68" i="25"/>
  <c r="D85" i="25" s="1"/>
  <c r="D103" i="25" s="1"/>
  <c r="D69" i="25"/>
  <c r="D70" i="25"/>
  <c r="D71" i="25"/>
  <c r="D72" i="25"/>
  <c r="D89" i="25" s="1"/>
  <c r="D107" i="25" s="1"/>
  <c r="D73" i="25"/>
  <c r="D60" i="25"/>
  <c r="D77" i="25" s="1"/>
  <c r="E24" i="25"/>
  <c r="F24" i="25" s="1"/>
  <c r="E25" i="25"/>
  <c r="E26" i="25"/>
  <c r="F26" i="25" s="1"/>
  <c r="E27" i="25"/>
  <c r="E64" i="25" s="1"/>
  <c r="E28" i="25"/>
  <c r="F28" i="25" s="1"/>
  <c r="E29" i="25"/>
  <c r="F29" i="25" s="1"/>
  <c r="E30" i="25"/>
  <c r="E31" i="25"/>
  <c r="F31" i="25" s="1"/>
  <c r="E32" i="25"/>
  <c r="E69" i="25" s="1"/>
  <c r="E33" i="25"/>
  <c r="E70" i="25" s="1"/>
  <c r="E34" i="25"/>
  <c r="E35" i="25"/>
  <c r="F35" i="25" s="1"/>
  <c r="E36" i="25"/>
  <c r="E73" i="25" s="1"/>
  <c r="E90" i="25" s="1"/>
  <c r="E23" i="25"/>
  <c r="F23" i="25" s="1"/>
  <c r="F36" i="25" l="1"/>
  <c r="G36" i="25" s="1"/>
  <c r="G73" i="25" s="1"/>
  <c r="G90" i="25" s="1"/>
  <c r="G108" i="25" s="1"/>
  <c r="D82" i="25"/>
  <c r="E66" i="25"/>
  <c r="E83" i="25" s="1"/>
  <c r="F33" i="25"/>
  <c r="G33" i="25" s="1"/>
  <c r="H33" i="25" s="1"/>
  <c r="H70" i="25" s="1"/>
  <c r="H87" i="25" s="1"/>
  <c r="E65" i="25"/>
  <c r="O12" i="25" s="1"/>
  <c r="F34" i="25"/>
  <c r="G34" i="25" s="1"/>
  <c r="E67" i="25"/>
  <c r="E84" i="25" s="1"/>
  <c r="E102" i="25" s="1"/>
  <c r="F30" i="25"/>
  <c r="G30" i="25" s="1"/>
  <c r="H30" i="25" s="1"/>
  <c r="H67" i="25" s="1"/>
  <c r="H84" i="25" s="1"/>
  <c r="H102" i="25" s="1"/>
  <c r="G35" i="25"/>
  <c r="F72" i="25"/>
  <c r="F68" i="25"/>
  <c r="G31" i="25"/>
  <c r="E86" i="25"/>
  <c r="E104" i="25" s="1"/>
  <c r="G28" i="25"/>
  <c r="G65" i="25" s="1"/>
  <c r="F65" i="25"/>
  <c r="G24" i="25"/>
  <c r="G61" i="25" s="1"/>
  <c r="F61" i="25"/>
  <c r="E87" i="25"/>
  <c r="E105" i="25" s="1"/>
  <c r="G29" i="25"/>
  <c r="F66" i="25"/>
  <c r="E81" i="25"/>
  <c r="E99" i="25" s="1"/>
  <c r="F27" i="25"/>
  <c r="E108" i="25"/>
  <c r="E68" i="25"/>
  <c r="D86" i="25"/>
  <c r="D104" i="25" s="1"/>
  <c r="F32" i="25"/>
  <c r="F25" i="25"/>
  <c r="E72" i="25"/>
  <c r="E62" i="25"/>
  <c r="E61" i="25"/>
  <c r="D88" i="25"/>
  <c r="D106" i="25" s="1"/>
  <c r="D84" i="25"/>
  <c r="D102" i="25" s="1"/>
  <c r="D79" i="25"/>
  <c r="D97" i="25" s="1"/>
  <c r="D90" i="25"/>
  <c r="D108" i="25" s="1"/>
  <c r="D96" i="25"/>
  <c r="E71" i="25"/>
  <c r="D87" i="25"/>
  <c r="D105" i="25" s="1"/>
  <c r="D83" i="25"/>
  <c r="D101" i="25" s="1"/>
  <c r="E60" i="25"/>
  <c r="E77" i="25" s="1"/>
  <c r="F60" i="25"/>
  <c r="G23" i="25"/>
  <c r="G60" i="25" s="1"/>
  <c r="D95" i="25"/>
  <c r="D74" i="25"/>
  <c r="N6" i="25" s="1"/>
  <c r="M5" i="12" s="1"/>
  <c r="M7" i="7" s="1"/>
  <c r="E63" i="25"/>
  <c r="D80" i="25"/>
  <c r="D98" i="25" s="1"/>
  <c r="G26" i="25"/>
  <c r="F63" i="25"/>
  <c r="N13" i="25" l="1"/>
  <c r="I5" i="12"/>
  <c r="I7" i="7" s="1"/>
  <c r="L5" i="12"/>
  <c r="L7" i="7" s="1"/>
  <c r="J5" i="12"/>
  <c r="J7" i="7" s="1"/>
  <c r="K5" i="12"/>
  <c r="K7" i="7" s="1"/>
  <c r="N23" i="25"/>
  <c r="N22" i="25"/>
  <c r="F73" i="25"/>
  <c r="F90" i="25" s="1"/>
  <c r="F108" i="25" s="1"/>
  <c r="N15" i="25"/>
  <c r="H24" i="25"/>
  <c r="H61" i="25" s="1"/>
  <c r="H78" i="25" s="1"/>
  <c r="H96" i="25" s="1"/>
  <c r="F71" i="25"/>
  <c r="F88" i="25" s="1"/>
  <c r="F106" i="25" s="1"/>
  <c r="E82" i="25"/>
  <c r="O13" i="25" s="1"/>
  <c r="D100" i="25"/>
  <c r="D110" i="25" s="1"/>
  <c r="N8" i="25" s="1"/>
  <c r="H36" i="25"/>
  <c r="H73" i="25" s="1"/>
  <c r="H90" i="25" s="1"/>
  <c r="E101" i="25"/>
  <c r="F67" i="25"/>
  <c r="F84" i="25" s="1"/>
  <c r="H34" i="25"/>
  <c r="H71" i="25" s="1"/>
  <c r="G71" i="25"/>
  <c r="G70" i="25"/>
  <c r="G87" i="25" s="1"/>
  <c r="G105" i="25" s="1"/>
  <c r="H105" i="25"/>
  <c r="H28" i="25"/>
  <c r="H65" i="25" s="1"/>
  <c r="G67" i="25"/>
  <c r="G84" i="25" s="1"/>
  <c r="G102" i="25" s="1"/>
  <c r="F70" i="25"/>
  <c r="F87" i="25" s="1"/>
  <c r="E95" i="25"/>
  <c r="G32" i="25"/>
  <c r="F69" i="25"/>
  <c r="H29" i="25"/>
  <c r="H66" i="25" s="1"/>
  <c r="G66" i="25"/>
  <c r="F82" i="25"/>
  <c r="E79" i="25"/>
  <c r="E97" i="25" s="1"/>
  <c r="G25" i="25"/>
  <c r="F62" i="25"/>
  <c r="G27" i="25"/>
  <c r="F64" i="25"/>
  <c r="E80" i="25"/>
  <c r="E98" i="25" s="1"/>
  <c r="E78" i="25"/>
  <c r="E96" i="25" s="1"/>
  <c r="E88" i="25"/>
  <c r="E106" i="25" s="1"/>
  <c r="F78" i="25"/>
  <c r="F96" i="25" s="1"/>
  <c r="G82" i="25"/>
  <c r="H35" i="25"/>
  <c r="G72" i="25"/>
  <c r="D92" i="25"/>
  <c r="N7" i="25" s="1"/>
  <c r="M6" i="12" s="1"/>
  <c r="E85" i="25"/>
  <c r="E103" i="25" s="1"/>
  <c r="F89" i="25"/>
  <c r="F107" i="25" s="1"/>
  <c r="F85" i="25"/>
  <c r="F103" i="25" s="1"/>
  <c r="E89" i="25"/>
  <c r="E107" i="25" s="1"/>
  <c r="F83" i="25"/>
  <c r="F101" i="25" s="1"/>
  <c r="G78" i="25"/>
  <c r="G96" i="25" s="1"/>
  <c r="H31" i="25"/>
  <c r="G68" i="25"/>
  <c r="H23" i="25"/>
  <c r="H60" i="25" s="1"/>
  <c r="H77" i="25" s="1"/>
  <c r="H95" i="25" s="1"/>
  <c r="F77" i="25"/>
  <c r="F95" i="25" s="1"/>
  <c r="G77" i="25"/>
  <c r="G95" i="25" s="1"/>
  <c r="E74" i="25"/>
  <c r="O6" i="25" s="1"/>
  <c r="N5" i="12" s="1"/>
  <c r="N7" i="7" s="1"/>
  <c r="H26" i="25"/>
  <c r="G63" i="25"/>
  <c r="F80" i="25"/>
  <c r="F98" i="25" s="1"/>
  <c r="P12" i="25" l="1"/>
  <c r="M8" i="7"/>
  <c r="M21" i="7"/>
  <c r="J6" i="12"/>
  <c r="L6" i="12"/>
  <c r="I6" i="12"/>
  <c r="K6" i="12"/>
  <c r="O23" i="25"/>
  <c r="O22" i="25"/>
  <c r="N16" i="25"/>
  <c r="N17" i="25" s="1"/>
  <c r="O15" i="25"/>
  <c r="O16" i="25" s="1"/>
  <c r="O17" i="25" s="1"/>
  <c r="N24" i="25"/>
  <c r="M9" i="12" s="1"/>
  <c r="E100" i="25"/>
  <c r="E110" i="25" s="1"/>
  <c r="O8" i="25" s="1"/>
  <c r="H108" i="25"/>
  <c r="H82" i="25"/>
  <c r="G100" i="25"/>
  <c r="F100" i="25"/>
  <c r="F102" i="25"/>
  <c r="G88" i="25"/>
  <c r="G106" i="25" s="1"/>
  <c r="H88" i="25"/>
  <c r="H106" i="25" s="1"/>
  <c r="N9" i="25"/>
  <c r="F105" i="25"/>
  <c r="F86" i="25"/>
  <c r="F104" i="25" s="1"/>
  <c r="G89" i="25"/>
  <c r="G107" i="25" s="1"/>
  <c r="F79" i="25"/>
  <c r="F97" i="25" s="1"/>
  <c r="G83" i="25"/>
  <c r="G101" i="25" s="1"/>
  <c r="G69" i="25"/>
  <c r="H32" i="25"/>
  <c r="E92" i="25"/>
  <c r="O7" i="25" s="1"/>
  <c r="N6" i="12" s="1"/>
  <c r="H68" i="25"/>
  <c r="H27" i="25"/>
  <c r="H64" i="25" s="1"/>
  <c r="G64" i="25"/>
  <c r="G85" i="25"/>
  <c r="G103" i="25" s="1"/>
  <c r="F81" i="25"/>
  <c r="F99" i="25" s="1"/>
  <c r="H72" i="25"/>
  <c r="H25" i="25"/>
  <c r="H62" i="25" s="1"/>
  <c r="G62" i="25"/>
  <c r="H83" i="25"/>
  <c r="H101" i="25" s="1"/>
  <c r="F74" i="25"/>
  <c r="P6" i="25" s="1"/>
  <c r="O5" i="12" s="1"/>
  <c r="O7" i="7" s="1"/>
  <c r="G80" i="25"/>
  <c r="G98" i="25" s="1"/>
  <c r="H63" i="25"/>
  <c r="P13" i="25" l="1"/>
  <c r="Q12" i="25"/>
  <c r="Q23" i="25" s="1"/>
  <c r="K21" i="7"/>
  <c r="K8" i="7"/>
  <c r="K17" i="7" s="1"/>
  <c r="N21" i="7"/>
  <c r="N8" i="7"/>
  <c r="I8" i="7"/>
  <c r="I17" i="7" s="1"/>
  <c r="I21" i="7"/>
  <c r="M41" i="7"/>
  <c r="J8" i="7"/>
  <c r="J17" i="7" s="1"/>
  <c r="J21" i="7"/>
  <c r="L21" i="7"/>
  <c r="L8" i="7"/>
  <c r="I9" i="12"/>
  <c r="J9" i="12"/>
  <c r="K9" i="12"/>
  <c r="L9" i="12"/>
  <c r="P23" i="25"/>
  <c r="P22" i="25"/>
  <c r="N27" i="25"/>
  <c r="N31" i="25" s="1"/>
  <c r="O24" i="25"/>
  <c r="N9" i="12" s="1"/>
  <c r="N26" i="25"/>
  <c r="P15" i="25"/>
  <c r="H100" i="25"/>
  <c r="O9" i="25"/>
  <c r="F92" i="25"/>
  <c r="P7" i="25" s="1"/>
  <c r="O6" i="12" s="1"/>
  <c r="F110" i="25"/>
  <c r="P8" i="25" s="1"/>
  <c r="H89" i="25"/>
  <c r="H107" i="25" s="1"/>
  <c r="G86" i="25"/>
  <c r="Q13" i="25" s="1"/>
  <c r="H81" i="25"/>
  <c r="H99" i="25" s="1"/>
  <c r="H85" i="25"/>
  <c r="H103" i="25" s="1"/>
  <c r="H69" i="25"/>
  <c r="H79" i="25"/>
  <c r="H97" i="25" s="1"/>
  <c r="G81" i="25"/>
  <c r="G99" i="25" s="1"/>
  <c r="G79" i="25"/>
  <c r="G97" i="25" s="1"/>
  <c r="G74" i="25"/>
  <c r="Q6" i="25" s="1"/>
  <c r="P5" i="12" s="1"/>
  <c r="P7" i="7" s="1"/>
  <c r="H80" i="25"/>
  <c r="H98" i="25" s="1"/>
  <c r="Q22" i="25" l="1"/>
  <c r="Q15" i="25"/>
  <c r="R12" i="25"/>
  <c r="R22" i="25" s="1"/>
  <c r="O8" i="7"/>
  <c r="O21" i="7"/>
  <c r="N41" i="7"/>
  <c r="FG9" i="29" s="1"/>
  <c r="O27" i="25"/>
  <c r="O31" i="25" s="1"/>
  <c r="O26" i="25"/>
  <c r="N28" i="25"/>
  <c r="P16" i="25"/>
  <c r="P17" i="25" s="1"/>
  <c r="N30" i="25"/>
  <c r="N32" i="25" s="1"/>
  <c r="Q16" i="25"/>
  <c r="Q17" i="25" s="1"/>
  <c r="Q24" i="25"/>
  <c r="P9" i="12" s="1"/>
  <c r="P24" i="25"/>
  <c r="O9" i="12" s="1"/>
  <c r="G92" i="25"/>
  <c r="Q7" i="25" s="1"/>
  <c r="P6" i="12" s="1"/>
  <c r="P9" i="25"/>
  <c r="G104" i="25"/>
  <c r="G110" i="25" s="1"/>
  <c r="Q8" i="25" s="1"/>
  <c r="Q9" i="25" s="1"/>
  <c r="H86" i="25"/>
  <c r="R13" i="25" s="1"/>
  <c r="H74" i="25"/>
  <c r="R6" i="25" s="1"/>
  <c r="R23" i="25" l="1"/>
  <c r="R15" i="25"/>
  <c r="R16" i="25" s="1"/>
  <c r="R17" i="25" s="1"/>
  <c r="O41" i="7"/>
  <c r="FH9" i="29" s="1"/>
  <c r="FH12" i="29" s="1"/>
  <c r="P21" i="7"/>
  <c r="P8" i="7"/>
  <c r="O28" i="25"/>
  <c r="Q5" i="12"/>
  <c r="Q7" i="7" s="1"/>
  <c r="O30" i="25"/>
  <c r="O32" i="25" s="1"/>
  <c r="N33" i="25"/>
  <c r="N34" i="25" s="1"/>
  <c r="M20" i="12" s="1"/>
  <c r="P27" i="25"/>
  <c r="P31" i="25" s="1"/>
  <c r="Q26" i="25"/>
  <c r="Q30" i="25" s="1"/>
  <c r="P26" i="25"/>
  <c r="Q27" i="25"/>
  <c r="Q31" i="25" s="1"/>
  <c r="R24" i="25"/>
  <c r="Q9" i="12" s="1"/>
  <c r="H104" i="25"/>
  <c r="H110" i="25" s="1"/>
  <c r="R8" i="25" s="1"/>
  <c r="R9" i="25" s="1"/>
  <c r="H92" i="25"/>
  <c r="R7" i="25" s="1"/>
  <c r="Q6" i="12" s="1"/>
  <c r="P41" i="7" l="1"/>
  <c r="FI9" i="29" s="1"/>
  <c r="FI12" i="29" s="1"/>
  <c r="Q16" i="6"/>
  <c r="Q8" i="7"/>
  <c r="Q21" i="6" s="1"/>
  <c r="Q20" i="6" s="1"/>
  <c r="Q21" i="7"/>
  <c r="Q78" i="6" s="1"/>
  <c r="I20" i="12"/>
  <c r="K20" i="12"/>
  <c r="J20" i="12"/>
  <c r="L20" i="12"/>
  <c r="O33" i="25"/>
  <c r="O34" i="25" s="1"/>
  <c r="N20" i="12" s="1"/>
  <c r="R26" i="25"/>
  <c r="R30" i="25" s="1"/>
  <c r="Q32" i="25"/>
  <c r="P30" i="25"/>
  <c r="P32" i="25" s="1"/>
  <c r="P28" i="25"/>
  <c r="Q28" i="25"/>
  <c r="R27" i="25"/>
  <c r="R31" i="25" s="1"/>
  <c r="M11" i="23"/>
  <c r="Q161" i="6" l="1"/>
  <c r="Q15" i="6"/>
  <c r="Q66" i="6"/>
  <c r="Q41" i="7"/>
  <c r="FJ9" i="29" s="1"/>
  <c r="FJ12" i="29" s="1"/>
  <c r="Q77" i="6"/>
  <c r="Q108" i="6"/>
  <c r="Q155" i="6" s="1"/>
  <c r="Q33" i="25"/>
  <c r="Q34" i="25" s="1"/>
  <c r="P20" i="12" s="1"/>
  <c r="P33" i="25"/>
  <c r="P34" i="25" s="1"/>
  <c r="O20" i="12" s="1"/>
  <c r="R32" i="25"/>
  <c r="R28" i="25"/>
  <c r="R33" i="25" l="1"/>
  <c r="R34" i="25" s="1"/>
  <c r="Q20" i="12" s="1"/>
  <c r="B267" i="24" l="1"/>
  <c r="B266" i="24"/>
  <c r="B265" i="24"/>
  <c r="B262" i="24"/>
  <c r="B261" i="24"/>
  <c r="B260" i="24"/>
  <c r="B259" i="24"/>
  <c r="B237" i="24"/>
  <c r="B236" i="24"/>
  <c r="B235" i="24"/>
  <c r="B234" i="24"/>
  <c r="B232" i="24"/>
  <c r="B231" i="24"/>
  <c r="B230" i="24"/>
  <c r="B229" i="24"/>
  <c r="B227" i="24"/>
  <c r="B226" i="24"/>
  <c r="B225" i="24"/>
  <c r="A224" i="24"/>
  <c r="A219" i="24"/>
  <c r="B222" i="24"/>
  <c r="B221" i="24"/>
  <c r="B220" i="24"/>
  <c r="B252" i="24"/>
  <c r="B251" i="24"/>
  <c r="B250" i="24"/>
  <c r="B242" i="24"/>
  <c r="B241" i="24"/>
  <c r="B240" i="24"/>
  <c r="B381" i="24" l="1"/>
  <c r="B380" i="24"/>
  <c r="B379" i="24"/>
  <c r="B314" i="24"/>
  <c r="B313" i="24"/>
  <c r="B312" i="24"/>
  <c r="A280" i="24" l="1"/>
  <c r="B281" i="24"/>
  <c r="B282" i="24"/>
  <c r="B283" i="24"/>
  <c r="B284" i="24"/>
  <c r="B286" i="24"/>
  <c r="B287" i="24"/>
  <c r="B288" i="24"/>
  <c r="B289" i="24"/>
  <c r="B291" i="24"/>
  <c r="B292" i="24"/>
  <c r="B293" i="24"/>
  <c r="B294" i="24"/>
  <c r="B296" i="24"/>
  <c r="B297" i="24"/>
  <c r="B298" i="24"/>
  <c r="B299" i="24"/>
  <c r="B301" i="24"/>
  <c r="B302" i="24"/>
  <c r="B303" i="24"/>
  <c r="B304" i="24"/>
  <c r="B306" i="24"/>
  <c r="B307" i="24"/>
  <c r="B308" i="24"/>
  <c r="B309" i="24"/>
  <c r="B316" i="24"/>
  <c r="B317" i="24"/>
  <c r="B318" i="24"/>
  <c r="B319" i="24"/>
  <c r="B321" i="24"/>
  <c r="B322" i="24"/>
  <c r="B323" i="24"/>
  <c r="B324" i="24"/>
  <c r="B326" i="24"/>
  <c r="B327" i="24"/>
  <c r="B328" i="24"/>
  <c r="B329" i="24"/>
  <c r="B331" i="24"/>
  <c r="B332" i="24"/>
  <c r="B333" i="24"/>
  <c r="B334" i="24"/>
  <c r="B336" i="24"/>
  <c r="B337" i="24"/>
  <c r="B338" i="24"/>
  <c r="B339" i="24"/>
  <c r="B341" i="24"/>
  <c r="B342" i="24"/>
  <c r="B343" i="24"/>
  <c r="B344" i="24"/>
  <c r="A346" i="24"/>
  <c r="B347" i="24"/>
  <c r="B348" i="24"/>
  <c r="B349" i="24"/>
  <c r="A352" i="24"/>
  <c r="B353" i="24"/>
  <c r="B354" i="24"/>
  <c r="B355" i="24"/>
  <c r="B356" i="24"/>
  <c r="B358" i="24"/>
  <c r="B359" i="24"/>
  <c r="B360" i="24"/>
  <c r="B361" i="24"/>
  <c r="B363" i="24"/>
  <c r="B364" i="24"/>
  <c r="B365" i="24"/>
  <c r="B366" i="24"/>
  <c r="B368" i="24"/>
  <c r="B369" i="24"/>
  <c r="B370" i="24"/>
  <c r="B371" i="24"/>
  <c r="B373" i="24"/>
  <c r="B374" i="24"/>
  <c r="B375" i="24"/>
  <c r="B376" i="24"/>
  <c r="B383" i="24"/>
  <c r="B384" i="24"/>
  <c r="B385" i="24"/>
  <c r="B386" i="24"/>
  <c r="B388" i="24"/>
  <c r="B389" i="24"/>
  <c r="B390" i="24"/>
  <c r="B391" i="24"/>
  <c r="A393" i="24"/>
  <c r="B394" i="24"/>
  <c r="B395" i="24"/>
  <c r="B396" i="24"/>
  <c r="A398" i="24"/>
  <c r="A399" i="24"/>
  <c r="B400" i="24"/>
  <c r="B401" i="24"/>
  <c r="B402" i="24"/>
  <c r="B403" i="24"/>
  <c r="B405" i="24"/>
  <c r="B406" i="24"/>
  <c r="B407" i="24"/>
  <c r="B408" i="24"/>
  <c r="B410" i="24"/>
  <c r="B411" i="24"/>
  <c r="B412" i="24"/>
  <c r="B413" i="24"/>
  <c r="B415" i="24"/>
  <c r="B416" i="24"/>
  <c r="B417" i="24"/>
  <c r="B418" i="24"/>
  <c r="B420" i="24"/>
  <c r="B421" i="24"/>
  <c r="B422" i="24"/>
  <c r="B423" i="24"/>
  <c r="A425" i="24"/>
  <c r="B426" i="24"/>
  <c r="B427" i="24"/>
  <c r="B428" i="24"/>
  <c r="B430" i="24"/>
  <c r="B431" i="24"/>
  <c r="B432" i="24"/>
  <c r="B433" i="24"/>
  <c r="A435" i="24"/>
  <c r="B436" i="24"/>
  <c r="B437" i="24"/>
  <c r="B438" i="24"/>
  <c r="D439" i="24"/>
  <c r="E439" i="24"/>
  <c r="F439" i="24"/>
  <c r="G439" i="24"/>
  <c r="H439" i="24"/>
  <c r="I439" i="24"/>
  <c r="J439" i="24"/>
  <c r="K439" i="24"/>
  <c r="L439" i="24"/>
  <c r="M439" i="24"/>
  <c r="N439" i="24"/>
  <c r="O439" i="24"/>
  <c r="P439" i="24"/>
  <c r="Q439" i="24"/>
  <c r="A440" i="24"/>
  <c r="B441" i="24"/>
  <c r="B442" i="24"/>
  <c r="B443" i="24"/>
  <c r="A1" i="24" l="1"/>
  <c r="D2" i="24"/>
  <c r="I2" i="24"/>
  <c r="M2" i="24"/>
  <c r="I3" i="24"/>
  <c r="J3" i="24"/>
  <c r="K3" i="24"/>
  <c r="L3" i="24"/>
  <c r="A209" i="24"/>
  <c r="B210" i="24"/>
  <c r="B211" i="24"/>
  <c r="B212" i="24"/>
  <c r="B214" i="24"/>
  <c r="B215" i="24"/>
  <c r="B216" i="24"/>
  <c r="B217" i="24"/>
  <c r="B254" i="24"/>
  <c r="B255" i="24"/>
  <c r="B256" i="24"/>
  <c r="B257" i="24"/>
  <c r="A269" i="24"/>
  <c r="B270" i="24"/>
  <c r="B271" i="24"/>
  <c r="B272" i="24"/>
  <c r="B244" i="24"/>
  <c r="B245" i="24"/>
  <c r="B246" i="24"/>
  <c r="B247" i="24"/>
  <c r="A239" i="24"/>
  <c r="A249" i="24"/>
  <c r="A274" i="24"/>
  <c r="B275" i="24"/>
  <c r="B276" i="24"/>
  <c r="B277" i="24"/>
  <c r="Q60" i="13" l="1"/>
  <c r="F18" i="22"/>
  <c r="G18" i="22"/>
  <c r="H18" i="22"/>
  <c r="I18" i="22"/>
  <c r="J18" i="22"/>
  <c r="K18" i="22"/>
  <c r="L18" i="22"/>
  <c r="M18" i="22"/>
  <c r="N18" i="22"/>
  <c r="Q33" i="13"/>
  <c r="Q13" i="13"/>
  <c r="B17" i="23"/>
  <c r="B16" i="23"/>
  <c r="O42" i="23"/>
  <c r="N42" i="23"/>
  <c r="M42" i="23"/>
  <c r="L42" i="23"/>
  <c r="K42" i="23"/>
  <c r="J42" i="23"/>
  <c r="I42" i="23"/>
  <c r="H42" i="23"/>
  <c r="G42" i="23"/>
  <c r="F42" i="23"/>
  <c r="E42" i="23"/>
  <c r="D42" i="23"/>
  <c r="I29" i="23"/>
  <c r="J29" i="23"/>
  <c r="K29" i="23"/>
  <c r="L29" i="23"/>
  <c r="G11" i="23"/>
  <c r="H11" i="23"/>
  <c r="N11" i="23"/>
  <c r="O11" i="23"/>
  <c r="D11" i="23"/>
  <c r="F20" i="23"/>
  <c r="B26" i="23"/>
  <c r="O29" i="23" l="1"/>
  <c r="O44" i="23" s="1"/>
  <c r="H29" i="23"/>
  <c r="H44" i="23" s="1"/>
  <c r="D29" i="23"/>
  <c r="D44" i="23" s="1"/>
  <c r="F29" i="23"/>
  <c r="F44" i="23" s="1"/>
  <c r="E29" i="23"/>
  <c r="E44" i="23" s="1"/>
  <c r="N29" i="23"/>
  <c r="N44" i="23" s="1"/>
  <c r="Q29" i="23"/>
  <c r="P29" i="23"/>
  <c r="P44" i="23" s="1"/>
  <c r="M29" i="23"/>
  <c r="M44" i="23" s="1"/>
  <c r="G29" i="23"/>
  <c r="G44" i="23" s="1"/>
  <c r="G20" i="10"/>
  <c r="G35" i="23"/>
  <c r="H25" i="7"/>
  <c r="G25" i="7"/>
  <c r="L44" i="23"/>
  <c r="J17" i="23"/>
  <c r="K44" i="23"/>
  <c r="I44" i="23"/>
  <c r="J44" i="23"/>
  <c r="G20" i="23"/>
  <c r="B25" i="23"/>
  <c r="K17" i="23" l="1"/>
  <c r="L17" i="23" s="1"/>
  <c r="M17" i="23" s="1"/>
  <c r="N17" i="23" s="1"/>
  <c r="O17" i="23" s="1"/>
  <c r="P17" i="23" s="1"/>
  <c r="P25" i="16" s="1"/>
  <c r="J25" i="16"/>
  <c r="Q44" i="23"/>
  <c r="I25" i="7"/>
  <c r="H20" i="23"/>
  <c r="E10" i="20"/>
  <c r="F10" i="20"/>
  <c r="G10" i="20"/>
  <c r="H10" i="20"/>
  <c r="I10" i="20"/>
  <c r="J10" i="20"/>
  <c r="K10" i="20"/>
  <c r="L10" i="20"/>
  <c r="M10" i="20"/>
  <c r="N10" i="20"/>
  <c r="O10" i="20"/>
  <c r="P10" i="20"/>
  <c r="Q10" i="20"/>
  <c r="Q32" i="13" s="1"/>
  <c r="D10" i="20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Q17" i="23" l="1"/>
  <c r="Q31" i="13"/>
  <c r="Q30" i="13" s="1"/>
  <c r="I20" i="23"/>
  <c r="J20" i="23" s="1"/>
  <c r="J25" i="7"/>
  <c r="Q25" i="16" l="1"/>
  <c r="Q100" i="6" s="1"/>
  <c r="Q110" i="6" s="1"/>
  <c r="Q157" i="6" s="1"/>
  <c r="I27" i="16"/>
  <c r="I39" i="16" s="1"/>
  <c r="I33" i="22"/>
  <c r="K16" i="23"/>
  <c r="J27" i="16"/>
  <c r="J39" i="16" s="1"/>
  <c r="K25" i="7"/>
  <c r="L7" i="12"/>
  <c r="L10" i="12" s="1"/>
  <c r="L13" i="12" s="1"/>
  <c r="L15" i="12" s="1"/>
  <c r="H7" i="12"/>
  <c r="L7" i="4"/>
  <c r="L10" i="4" s="1"/>
  <c r="L13" i="4" s="1"/>
  <c r="L15" i="4" s="1"/>
  <c r="H7" i="4"/>
  <c r="H10" i="12" l="1"/>
  <c r="H13" i="12" s="1"/>
  <c r="H15" i="12" s="1"/>
  <c r="H17" i="12" s="1"/>
  <c r="H19" i="12" s="1"/>
  <c r="H21" i="12" s="1"/>
  <c r="EQ9" i="29" s="1"/>
  <c r="H10" i="4"/>
  <c r="H13" i="4" s="1"/>
  <c r="H15" i="4" s="1"/>
  <c r="H17" i="4" s="1"/>
  <c r="H19" i="4" s="1"/>
  <c r="H21" i="4" s="1"/>
  <c r="EQ10" i="29" s="1"/>
  <c r="J43" i="16"/>
  <c r="I43" i="16"/>
  <c r="K25" i="16"/>
  <c r="K27" i="16" s="1"/>
  <c r="K39" i="16" s="1"/>
  <c r="L25" i="7"/>
  <c r="K20" i="23"/>
  <c r="L16" i="12"/>
  <c r="L17" i="12" s="1"/>
  <c r="L19" i="12" s="1"/>
  <c r="L21" i="12" s="1"/>
  <c r="L22" i="12" s="1"/>
  <c r="L16" i="4"/>
  <c r="L17" i="4" s="1"/>
  <c r="L19" i="4" s="1"/>
  <c r="L21" i="4" s="1"/>
  <c r="L22" i="4" s="1"/>
  <c r="L8" i="4"/>
  <c r="L8" i="12"/>
  <c r="H8" i="12"/>
  <c r="H8" i="4"/>
  <c r="K43" i="16" l="1"/>
  <c r="M25" i="7"/>
  <c r="BO5" i="29"/>
  <c r="BP5" i="29" s="1"/>
  <c r="EO9" i="29"/>
  <c r="H22" i="12"/>
  <c r="L107" i="1"/>
  <c r="L106" i="1"/>
  <c r="BO6" i="29"/>
  <c r="BP6" i="29" s="1"/>
  <c r="E33" i="4" s="1"/>
  <c r="EO10" i="29"/>
  <c r="H22" i="4"/>
  <c r="L7" i="15"/>
  <c r="L10" i="15" s="1"/>
  <c r="L13" i="15" s="1"/>
  <c r="L15" i="15" s="1"/>
  <c r="H7" i="15"/>
  <c r="E141" i="1"/>
  <c r="F141" i="1"/>
  <c r="G141" i="1"/>
  <c r="H141" i="1"/>
  <c r="I141" i="1"/>
  <c r="J141" i="1"/>
  <c r="K141" i="1"/>
  <c r="L141" i="1"/>
  <c r="M141" i="1"/>
  <c r="N141" i="1"/>
  <c r="O141" i="1"/>
  <c r="E142" i="1"/>
  <c r="F142" i="1"/>
  <c r="G142" i="1"/>
  <c r="H142" i="1"/>
  <c r="I142" i="1"/>
  <c r="J142" i="1"/>
  <c r="K142" i="1"/>
  <c r="L142" i="1"/>
  <c r="M142" i="1"/>
  <c r="N142" i="1"/>
  <c r="O142" i="1"/>
  <c r="D142" i="1"/>
  <c r="H8" i="15" l="1"/>
  <c r="H10" i="15"/>
  <c r="H13" i="15" s="1"/>
  <c r="H15" i="15" s="1"/>
  <c r="O25" i="7"/>
  <c r="N25" i="7"/>
  <c r="CY9" i="29"/>
  <c r="DD9" i="29" s="1"/>
  <c r="CY8" i="29"/>
  <c r="DD8" i="29" s="1"/>
  <c r="E33" i="12"/>
  <c r="L16" i="15"/>
  <c r="L17" i="15" s="1"/>
  <c r="L19" i="15" s="1"/>
  <c r="L21" i="15" s="1"/>
  <c r="L5" i="22" s="1"/>
  <c r="BP8" i="29"/>
  <c r="BO8" i="29"/>
  <c r="L140" i="1"/>
  <c r="H140" i="1"/>
  <c r="E140" i="1"/>
  <c r="O140" i="1"/>
  <c r="K140" i="1"/>
  <c r="G140" i="1"/>
  <c r="M140" i="1"/>
  <c r="I140" i="1"/>
  <c r="N140" i="1"/>
  <c r="J140" i="1"/>
  <c r="F140" i="1"/>
  <c r="L8" i="15"/>
  <c r="H17" i="15"/>
  <c r="H19" i="15" s="1"/>
  <c r="H21" i="15" s="1"/>
  <c r="P107" i="13"/>
  <c r="O107" i="13"/>
  <c r="N107" i="13"/>
  <c r="M107" i="13"/>
  <c r="L107" i="13"/>
  <c r="K107" i="13"/>
  <c r="J107" i="13"/>
  <c r="I107" i="13"/>
  <c r="H107" i="13"/>
  <c r="G107" i="13"/>
  <c r="F107" i="13"/>
  <c r="E107" i="13"/>
  <c r="D107" i="13"/>
  <c r="P106" i="13"/>
  <c r="O106" i="13"/>
  <c r="N106" i="13"/>
  <c r="M106" i="13"/>
  <c r="L106" i="13"/>
  <c r="K106" i="13"/>
  <c r="J106" i="13"/>
  <c r="I106" i="13"/>
  <c r="H106" i="13"/>
  <c r="G106" i="13"/>
  <c r="F106" i="13"/>
  <c r="E106" i="13"/>
  <c r="D106" i="13"/>
  <c r="P105" i="13"/>
  <c r="O105" i="13"/>
  <c r="N105" i="13"/>
  <c r="M105" i="13"/>
  <c r="L105" i="13"/>
  <c r="K105" i="13"/>
  <c r="J105" i="13"/>
  <c r="I105" i="13"/>
  <c r="H105" i="13"/>
  <c r="G105" i="13"/>
  <c r="F105" i="13"/>
  <c r="E105" i="13"/>
  <c r="D105" i="13"/>
  <c r="P102" i="13"/>
  <c r="O102" i="13"/>
  <c r="N102" i="13"/>
  <c r="M102" i="13"/>
  <c r="L102" i="13"/>
  <c r="K102" i="13"/>
  <c r="J102" i="13"/>
  <c r="I102" i="13"/>
  <c r="H102" i="13"/>
  <c r="G102" i="13"/>
  <c r="F102" i="13"/>
  <c r="E102" i="13"/>
  <c r="D102" i="13"/>
  <c r="P101" i="13"/>
  <c r="O101" i="13"/>
  <c r="N101" i="13"/>
  <c r="M101" i="13"/>
  <c r="L101" i="13"/>
  <c r="K101" i="13"/>
  <c r="J101" i="13"/>
  <c r="I101" i="13"/>
  <c r="H101" i="13"/>
  <c r="G101" i="13"/>
  <c r="F101" i="13"/>
  <c r="E101" i="13"/>
  <c r="D101" i="13"/>
  <c r="P100" i="13"/>
  <c r="O100" i="13"/>
  <c r="N100" i="13"/>
  <c r="L100" i="13"/>
  <c r="K100" i="13"/>
  <c r="J100" i="13"/>
  <c r="I100" i="13"/>
  <c r="H100" i="13"/>
  <c r="G100" i="13"/>
  <c r="F100" i="13"/>
  <c r="E100" i="13"/>
  <c r="D100" i="13"/>
  <c r="D29" i="22"/>
  <c r="D29" i="20"/>
  <c r="D29" i="14"/>
  <c r="C102" i="13" l="1"/>
  <c r="C106" i="13"/>
  <c r="C101" i="13"/>
  <c r="C107" i="13"/>
  <c r="C105" i="13"/>
  <c r="ER10" i="29"/>
  <c r="EP19" i="29" s="1"/>
  <c r="ER9" i="29"/>
  <c r="EP18" i="29" s="1"/>
  <c r="L22" i="15"/>
  <c r="EO11" i="29"/>
  <c r="EQ11" i="29"/>
  <c r="L108" i="1"/>
  <c r="Q37" i="23"/>
  <c r="F104" i="13"/>
  <c r="J104" i="13"/>
  <c r="D104" i="13"/>
  <c r="P104" i="13"/>
  <c r="N104" i="13"/>
  <c r="H104" i="13"/>
  <c r="L104" i="13"/>
  <c r="E104" i="13"/>
  <c r="I104" i="13"/>
  <c r="M104" i="13"/>
  <c r="G104" i="13"/>
  <c r="K104" i="13"/>
  <c r="O104" i="13"/>
  <c r="Q33" i="22"/>
  <c r="Q124" i="13" s="1"/>
  <c r="K33" i="22"/>
  <c r="J33" i="22"/>
  <c r="H33" i="22"/>
  <c r="G33" i="22"/>
  <c r="F33" i="22"/>
  <c r="E33" i="22"/>
  <c r="Q32" i="22"/>
  <c r="Q119" i="13" s="1"/>
  <c r="P32" i="22"/>
  <c r="O32" i="22"/>
  <c r="N32" i="22"/>
  <c r="L32" i="22"/>
  <c r="K32" i="22"/>
  <c r="J32" i="22"/>
  <c r="H32" i="22"/>
  <c r="G32" i="22"/>
  <c r="F32" i="22"/>
  <c r="E32" i="22"/>
  <c r="Q26" i="22"/>
  <c r="Q97" i="13" s="1"/>
  <c r="P26" i="22"/>
  <c r="O26" i="22"/>
  <c r="N26" i="22"/>
  <c r="M26" i="22"/>
  <c r="L26" i="22"/>
  <c r="K26" i="22"/>
  <c r="J26" i="22"/>
  <c r="I26" i="22"/>
  <c r="H26" i="22"/>
  <c r="G26" i="22"/>
  <c r="F26" i="22"/>
  <c r="E26" i="22"/>
  <c r="Q22" i="22"/>
  <c r="Q77" i="13" s="1"/>
  <c r="P22" i="22"/>
  <c r="O22" i="22"/>
  <c r="N22" i="22"/>
  <c r="M22" i="22"/>
  <c r="L22" i="22"/>
  <c r="K22" i="22"/>
  <c r="J22" i="22"/>
  <c r="I22" i="22"/>
  <c r="H22" i="22"/>
  <c r="G22" i="22"/>
  <c r="F22" i="22"/>
  <c r="E22" i="22"/>
  <c r="Q18" i="22"/>
  <c r="P18" i="22"/>
  <c r="O18" i="22"/>
  <c r="E18" i="22"/>
  <c r="Q15" i="22"/>
  <c r="Q54" i="13" s="1"/>
  <c r="P15" i="22"/>
  <c r="O15" i="22"/>
  <c r="N15" i="22"/>
  <c r="M15" i="22"/>
  <c r="L15" i="22"/>
  <c r="K15" i="22"/>
  <c r="J15" i="22"/>
  <c r="I15" i="22"/>
  <c r="H15" i="22"/>
  <c r="G15" i="22"/>
  <c r="F15" i="22"/>
  <c r="E15" i="22"/>
  <c r="Q14" i="22"/>
  <c r="Q49" i="13" s="1"/>
  <c r="P14" i="22"/>
  <c r="O14" i="22"/>
  <c r="N14" i="22"/>
  <c r="M14" i="22"/>
  <c r="L14" i="22"/>
  <c r="K14" i="22"/>
  <c r="J14" i="22"/>
  <c r="I14" i="22"/>
  <c r="H14" i="22"/>
  <c r="G14" i="22"/>
  <c r="F14" i="22"/>
  <c r="E14" i="22"/>
  <c r="Q13" i="22"/>
  <c r="Q44" i="13" s="1"/>
  <c r="P13" i="22"/>
  <c r="O13" i="22"/>
  <c r="N13" i="22"/>
  <c r="M13" i="22"/>
  <c r="L13" i="22"/>
  <c r="K13" i="22"/>
  <c r="J13" i="22"/>
  <c r="I13" i="22"/>
  <c r="H13" i="22"/>
  <c r="G13" i="22"/>
  <c r="F13" i="22"/>
  <c r="E13" i="22"/>
  <c r="Q12" i="22"/>
  <c r="P12" i="22"/>
  <c r="FI18" i="29" s="1"/>
  <c r="FI20" i="29" s="1"/>
  <c r="O12" i="22"/>
  <c r="N12" i="22"/>
  <c r="M12" i="22"/>
  <c r="L12" i="22"/>
  <c r="K12" i="22"/>
  <c r="J12" i="22"/>
  <c r="I12" i="22"/>
  <c r="H12" i="22"/>
  <c r="FE18" i="29" s="1"/>
  <c r="FE20" i="29" s="1"/>
  <c r="G12" i="22"/>
  <c r="F12" i="22"/>
  <c r="E12" i="22"/>
  <c r="Q9" i="22"/>
  <c r="Q28" i="13" s="1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Q7" i="22"/>
  <c r="Q18" i="13" s="1"/>
  <c r="P7" i="22"/>
  <c r="O7" i="22"/>
  <c r="N7" i="22"/>
  <c r="M7" i="22"/>
  <c r="K7" i="22"/>
  <c r="J7" i="22"/>
  <c r="I7" i="22"/>
  <c r="H7" i="22"/>
  <c r="G7" i="22"/>
  <c r="F7" i="22"/>
  <c r="E7" i="22"/>
  <c r="D7" i="22"/>
  <c r="Q33" i="20"/>
  <c r="Q123" i="13" s="1"/>
  <c r="P33" i="20"/>
  <c r="O33" i="20"/>
  <c r="N33" i="20"/>
  <c r="M33" i="20"/>
  <c r="L33" i="20"/>
  <c r="K33" i="20"/>
  <c r="J33" i="20"/>
  <c r="I33" i="20"/>
  <c r="H33" i="20"/>
  <c r="G33" i="20"/>
  <c r="F33" i="20"/>
  <c r="E33" i="20"/>
  <c r="Q32" i="20"/>
  <c r="Q118" i="13" s="1"/>
  <c r="P32" i="20"/>
  <c r="O32" i="20"/>
  <c r="N32" i="20"/>
  <c r="L32" i="20"/>
  <c r="K32" i="20"/>
  <c r="J32" i="20"/>
  <c r="H32" i="20"/>
  <c r="G32" i="20"/>
  <c r="F32" i="20"/>
  <c r="E32" i="20"/>
  <c r="Q26" i="20"/>
  <c r="Q96" i="13" s="1"/>
  <c r="P26" i="20"/>
  <c r="O26" i="20"/>
  <c r="N26" i="20"/>
  <c r="M26" i="20"/>
  <c r="L26" i="20"/>
  <c r="K26" i="20"/>
  <c r="J26" i="20"/>
  <c r="I26" i="20"/>
  <c r="H26" i="20"/>
  <c r="G26" i="20"/>
  <c r="F26" i="20"/>
  <c r="E26" i="20"/>
  <c r="Q22" i="20"/>
  <c r="Q76" i="13" s="1"/>
  <c r="P22" i="20"/>
  <c r="O22" i="20"/>
  <c r="N22" i="20"/>
  <c r="M22" i="20"/>
  <c r="L22" i="20"/>
  <c r="K22" i="20"/>
  <c r="J22" i="20"/>
  <c r="I22" i="20"/>
  <c r="H22" i="20"/>
  <c r="G22" i="20"/>
  <c r="F22" i="20"/>
  <c r="E22" i="20"/>
  <c r="Q18" i="20"/>
  <c r="P18" i="20"/>
  <c r="O18" i="20"/>
  <c r="N18" i="20"/>
  <c r="M18" i="20"/>
  <c r="L18" i="20"/>
  <c r="K18" i="20"/>
  <c r="J18" i="20"/>
  <c r="I18" i="20"/>
  <c r="H18" i="20"/>
  <c r="G18" i="20"/>
  <c r="F18" i="20"/>
  <c r="E18" i="20"/>
  <c r="Q17" i="20"/>
  <c r="Q59" i="13" s="1"/>
  <c r="P17" i="20"/>
  <c r="O17" i="20"/>
  <c r="N17" i="20"/>
  <c r="M17" i="20"/>
  <c r="L17" i="20"/>
  <c r="K17" i="20"/>
  <c r="J17" i="20"/>
  <c r="I17" i="20"/>
  <c r="H17" i="20"/>
  <c r="G17" i="20"/>
  <c r="F17" i="20"/>
  <c r="E17" i="20"/>
  <c r="Q15" i="20"/>
  <c r="Q53" i="13" s="1"/>
  <c r="P15" i="20"/>
  <c r="O15" i="20"/>
  <c r="N15" i="20"/>
  <c r="M15" i="20"/>
  <c r="L15" i="20"/>
  <c r="K15" i="20"/>
  <c r="J15" i="20"/>
  <c r="I15" i="20"/>
  <c r="H15" i="20"/>
  <c r="G15" i="20"/>
  <c r="F15" i="20"/>
  <c r="E15" i="20"/>
  <c r="Q14" i="20"/>
  <c r="Q48" i="13" s="1"/>
  <c r="P14" i="20"/>
  <c r="O14" i="20"/>
  <c r="N14" i="20"/>
  <c r="M14" i="20"/>
  <c r="L14" i="20"/>
  <c r="K14" i="20"/>
  <c r="J14" i="20"/>
  <c r="I14" i="20"/>
  <c r="H14" i="20"/>
  <c r="G14" i="20"/>
  <c r="F14" i="20"/>
  <c r="E14" i="20"/>
  <c r="Q13" i="20"/>
  <c r="Q43" i="13" s="1"/>
  <c r="P13" i="20"/>
  <c r="O13" i="20"/>
  <c r="N13" i="20"/>
  <c r="M13" i="20"/>
  <c r="L13" i="20"/>
  <c r="K13" i="20"/>
  <c r="J13" i="20"/>
  <c r="I13" i="20"/>
  <c r="H13" i="20"/>
  <c r="G13" i="20"/>
  <c r="F13" i="20"/>
  <c r="E13" i="20"/>
  <c r="Q12" i="20"/>
  <c r="Q38" i="13" s="1"/>
  <c r="P12" i="20"/>
  <c r="O12" i="20"/>
  <c r="N12" i="20"/>
  <c r="M12" i="20"/>
  <c r="L12" i="20"/>
  <c r="K12" i="20"/>
  <c r="J12" i="20"/>
  <c r="I12" i="20"/>
  <c r="H12" i="20"/>
  <c r="G12" i="20"/>
  <c r="F12" i="20"/>
  <c r="E12" i="20"/>
  <c r="Q9" i="20"/>
  <c r="Q27" i="13" s="1"/>
  <c r="P9" i="20"/>
  <c r="O9" i="20"/>
  <c r="N9" i="20"/>
  <c r="M9" i="20"/>
  <c r="L9" i="20"/>
  <c r="K9" i="20"/>
  <c r="J9" i="20"/>
  <c r="I9" i="20"/>
  <c r="H9" i="20"/>
  <c r="G9" i="20"/>
  <c r="F9" i="20"/>
  <c r="E9" i="20"/>
  <c r="D9" i="20"/>
  <c r="Q7" i="20"/>
  <c r="Q17" i="13" s="1"/>
  <c r="P7" i="20"/>
  <c r="O7" i="20"/>
  <c r="N7" i="20"/>
  <c r="M7" i="20"/>
  <c r="L7" i="20"/>
  <c r="K7" i="20"/>
  <c r="J7" i="20"/>
  <c r="I7" i="20"/>
  <c r="H7" i="20"/>
  <c r="G7" i="20"/>
  <c r="F7" i="20"/>
  <c r="E7" i="20"/>
  <c r="D7" i="20"/>
  <c r="Q6" i="20"/>
  <c r="Q12" i="13" s="1"/>
  <c r="P6" i="20"/>
  <c r="O6" i="20"/>
  <c r="N6" i="20"/>
  <c r="M6" i="20"/>
  <c r="L6" i="20"/>
  <c r="K6" i="20"/>
  <c r="J6" i="20"/>
  <c r="I6" i="20"/>
  <c r="H6" i="20"/>
  <c r="G6" i="20"/>
  <c r="F6" i="20"/>
  <c r="E6" i="20"/>
  <c r="BO10" i="29" l="1"/>
  <c r="BP10" i="29" s="1"/>
  <c r="C104" i="13"/>
  <c r="Q39" i="13"/>
  <c r="FJ18" i="29"/>
  <c r="FJ20" i="29" s="1"/>
  <c r="FD18" i="29"/>
  <c r="FD20" i="29" s="1"/>
  <c r="FH18" i="29"/>
  <c r="FH20" i="29" s="1"/>
  <c r="FB18" i="29"/>
  <c r="FB20" i="29" s="1"/>
  <c r="FF18" i="29"/>
  <c r="FC18" i="29"/>
  <c r="FC20" i="29" s="1"/>
  <c r="FG18" i="29"/>
  <c r="G24" i="15"/>
  <c r="G103" i="1" s="1"/>
  <c r="L24" i="15"/>
  <c r="L103" i="1" s="1"/>
  <c r="G24" i="4"/>
  <c r="G102" i="1" s="1"/>
  <c r="F24" i="4"/>
  <c r="F102" i="1" s="1"/>
  <c r="P20" i="23"/>
  <c r="H22" i="15"/>
  <c r="E24" i="4"/>
  <c r="E102" i="1" s="1"/>
  <c r="H24" i="4"/>
  <c r="H25" i="4" s="1"/>
  <c r="H107" i="1" s="1"/>
  <c r="I24" i="4"/>
  <c r="I102" i="1" s="1"/>
  <c r="L24" i="4"/>
  <c r="L102" i="1" s="1"/>
  <c r="P24" i="15"/>
  <c r="P103" i="1" s="1"/>
  <c r="F24" i="15"/>
  <c r="F103" i="1" s="1"/>
  <c r="J24" i="15"/>
  <c r="J103" i="1" s="1"/>
  <c r="K24" i="15"/>
  <c r="K103" i="1" s="1"/>
  <c r="H24" i="15"/>
  <c r="I24" i="15"/>
  <c r="I103" i="1" s="1"/>
  <c r="Q24" i="15"/>
  <c r="Q103" i="1" s="1"/>
  <c r="K24" i="4"/>
  <c r="K102" i="1" s="1"/>
  <c r="J24" i="4"/>
  <c r="J102" i="1" s="1"/>
  <c r="F29" i="20"/>
  <c r="J29" i="20"/>
  <c r="N29" i="20"/>
  <c r="Q29" i="22"/>
  <c r="H29" i="20"/>
  <c r="L29" i="20"/>
  <c r="P29" i="20"/>
  <c r="G29" i="20"/>
  <c r="K29" i="20"/>
  <c r="O29" i="20"/>
  <c r="M24" i="15"/>
  <c r="M103" i="1" s="1"/>
  <c r="H29" i="22"/>
  <c r="L29" i="22"/>
  <c r="P29" i="22"/>
  <c r="E29" i="20"/>
  <c r="I29" i="20"/>
  <c r="M29" i="20"/>
  <c r="Q29" i="20"/>
  <c r="O24" i="15"/>
  <c r="O103" i="1" s="1"/>
  <c r="N24" i="15"/>
  <c r="N103" i="1" s="1"/>
  <c r="P24" i="4"/>
  <c r="P102" i="1" s="1"/>
  <c r="O24" i="4"/>
  <c r="O102" i="1" s="1"/>
  <c r="N24" i="4"/>
  <c r="N102" i="1" s="1"/>
  <c r="FG10" i="29"/>
  <c r="FG12" i="29" s="1"/>
  <c r="M24" i="4"/>
  <c r="M102" i="1" s="1"/>
  <c r="FF10" i="29"/>
  <c r="Q24" i="4"/>
  <c r="Q102" i="1" s="1"/>
  <c r="E29" i="22"/>
  <c r="I29" i="22"/>
  <c r="M29" i="22"/>
  <c r="K29" i="22"/>
  <c r="O29" i="22"/>
  <c r="F29" i="22"/>
  <c r="J29" i="22"/>
  <c r="N29" i="22"/>
  <c r="G29" i="22"/>
  <c r="D185" i="13"/>
  <c r="D184" i="13"/>
  <c r="D183" i="13"/>
  <c r="P175" i="13"/>
  <c r="O175" i="13"/>
  <c r="N175" i="13"/>
  <c r="M175" i="13"/>
  <c r="L175" i="13"/>
  <c r="K175" i="13"/>
  <c r="J175" i="13"/>
  <c r="I175" i="13"/>
  <c r="H175" i="13"/>
  <c r="G175" i="13"/>
  <c r="F175" i="13"/>
  <c r="E175" i="13"/>
  <c r="D175" i="13"/>
  <c r="P174" i="13"/>
  <c r="O174" i="13"/>
  <c r="N174" i="13"/>
  <c r="M174" i="13"/>
  <c r="L174" i="13"/>
  <c r="K174" i="13"/>
  <c r="J174" i="13"/>
  <c r="I174" i="13"/>
  <c r="H174" i="13"/>
  <c r="G174" i="13"/>
  <c r="F174" i="13"/>
  <c r="E174" i="13"/>
  <c r="D174" i="13"/>
  <c r="P173" i="13"/>
  <c r="O173" i="13"/>
  <c r="N173" i="13"/>
  <c r="M173" i="13"/>
  <c r="L173" i="13"/>
  <c r="K173" i="13"/>
  <c r="J173" i="13"/>
  <c r="I173" i="13"/>
  <c r="H173" i="13"/>
  <c r="G173" i="13"/>
  <c r="F173" i="13"/>
  <c r="E173" i="13"/>
  <c r="D173" i="13"/>
  <c r="P164" i="13"/>
  <c r="O164" i="13"/>
  <c r="N164" i="13"/>
  <c r="M164" i="13"/>
  <c r="L164" i="13"/>
  <c r="K164" i="13"/>
  <c r="J164" i="13"/>
  <c r="I164" i="13"/>
  <c r="H164" i="13"/>
  <c r="G164" i="13"/>
  <c r="F164" i="13"/>
  <c r="E164" i="13"/>
  <c r="D164" i="13"/>
  <c r="P163" i="13"/>
  <c r="O163" i="13"/>
  <c r="N163" i="13"/>
  <c r="M163" i="13"/>
  <c r="L163" i="13"/>
  <c r="K163" i="13"/>
  <c r="J163" i="13"/>
  <c r="I163" i="13"/>
  <c r="H163" i="13"/>
  <c r="G163" i="13"/>
  <c r="F163" i="13"/>
  <c r="E163" i="13"/>
  <c r="D163" i="13"/>
  <c r="P162" i="13"/>
  <c r="O162" i="13"/>
  <c r="N162" i="13"/>
  <c r="M162" i="13"/>
  <c r="L162" i="13"/>
  <c r="K162" i="13"/>
  <c r="J162" i="13"/>
  <c r="I162" i="13"/>
  <c r="H162" i="13"/>
  <c r="G162" i="13"/>
  <c r="F162" i="13"/>
  <c r="E162" i="13"/>
  <c r="D162" i="13"/>
  <c r="P159" i="13"/>
  <c r="O159" i="13"/>
  <c r="N159" i="13"/>
  <c r="M159" i="13"/>
  <c r="L159" i="13"/>
  <c r="K159" i="13"/>
  <c r="J159" i="13"/>
  <c r="I159" i="13"/>
  <c r="H159" i="13"/>
  <c r="G159" i="13"/>
  <c r="F159" i="13"/>
  <c r="E159" i="13"/>
  <c r="D159" i="13"/>
  <c r="P158" i="13"/>
  <c r="O158" i="13"/>
  <c r="N158" i="13"/>
  <c r="M158" i="13"/>
  <c r="L158" i="13"/>
  <c r="K158" i="13"/>
  <c r="J158" i="13"/>
  <c r="I158" i="13"/>
  <c r="H158" i="13"/>
  <c r="G158" i="13"/>
  <c r="F158" i="13"/>
  <c r="E158" i="13"/>
  <c r="D158" i="13"/>
  <c r="P157" i="13"/>
  <c r="O157" i="13"/>
  <c r="N157" i="13"/>
  <c r="M157" i="13"/>
  <c r="L157" i="13"/>
  <c r="K157" i="13"/>
  <c r="J157" i="13"/>
  <c r="I157" i="13"/>
  <c r="H157" i="13"/>
  <c r="G157" i="13"/>
  <c r="F157" i="13"/>
  <c r="E157" i="13"/>
  <c r="D157" i="13"/>
  <c r="P154" i="13"/>
  <c r="O154" i="13"/>
  <c r="N154" i="13"/>
  <c r="M154" i="13"/>
  <c r="L154" i="13"/>
  <c r="K154" i="13"/>
  <c r="J154" i="13"/>
  <c r="I154" i="13"/>
  <c r="H154" i="13"/>
  <c r="G154" i="13"/>
  <c r="F154" i="13"/>
  <c r="E154" i="13"/>
  <c r="D154" i="13"/>
  <c r="P153" i="13"/>
  <c r="O153" i="13"/>
  <c r="N153" i="13"/>
  <c r="M153" i="13"/>
  <c r="L153" i="13"/>
  <c r="K153" i="13"/>
  <c r="J153" i="13"/>
  <c r="I153" i="13"/>
  <c r="H153" i="13"/>
  <c r="G153" i="13"/>
  <c r="F153" i="13"/>
  <c r="E153" i="13"/>
  <c r="D153" i="13"/>
  <c r="P152" i="13"/>
  <c r="O152" i="13"/>
  <c r="N152" i="13"/>
  <c r="M152" i="13"/>
  <c r="L152" i="13"/>
  <c r="K152" i="13"/>
  <c r="J152" i="13"/>
  <c r="I152" i="13"/>
  <c r="H152" i="13"/>
  <c r="G152" i="13"/>
  <c r="F152" i="13"/>
  <c r="E152" i="13"/>
  <c r="D152" i="13"/>
  <c r="P149" i="13"/>
  <c r="O149" i="13"/>
  <c r="N149" i="13"/>
  <c r="M149" i="13"/>
  <c r="L149" i="13"/>
  <c r="K149" i="13"/>
  <c r="J149" i="13"/>
  <c r="I149" i="13"/>
  <c r="H149" i="13"/>
  <c r="G149" i="13"/>
  <c r="F149" i="13"/>
  <c r="E149" i="13"/>
  <c r="D149" i="13"/>
  <c r="P148" i="13"/>
  <c r="O148" i="13"/>
  <c r="N148" i="13"/>
  <c r="M148" i="13"/>
  <c r="L148" i="13"/>
  <c r="K148" i="13"/>
  <c r="J148" i="13"/>
  <c r="I148" i="13"/>
  <c r="H148" i="13"/>
  <c r="G148" i="13"/>
  <c r="F148" i="13"/>
  <c r="E148" i="13"/>
  <c r="D148" i="13"/>
  <c r="P147" i="13"/>
  <c r="O147" i="13"/>
  <c r="N147" i="13"/>
  <c r="M147" i="13"/>
  <c r="L147" i="13"/>
  <c r="K147" i="13"/>
  <c r="J147" i="13"/>
  <c r="I147" i="13"/>
  <c r="H147" i="13"/>
  <c r="G147" i="13"/>
  <c r="F147" i="13"/>
  <c r="E147" i="13"/>
  <c r="D147" i="13"/>
  <c r="P144" i="13"/>
  <c r="O144" i="13"/>
  <c r="N144" i="13"/>
  <c r="M144" i="13"/>
  <c r="L144" i="13"/>
  <c r="K144" i="13"/>
  <c r="J144" i="13"/>
  <c r="I144" i="13"/>
  <c r="H144" i="13"/>
  <c r="G144" i="13"/>
  <c r="F144" i="13"/>
  <c r="E144" i="13"/>
  <c r="D144" i="13"/>
  <c r="P143" i="13"/>
  <c r="O143" i="13"/>
  <c r="N143" i="13"/>
  <c r="M143" i="13"/>
  <c r="L143" i="13"/>
  <c r="K143" i="13"/>
  <c r="J143" i="13"/>
  <c r="I143" i="13"/>
  <c r="H143" i="13"/>
  <c r="G143" i="13"/>
  <c r="F143" i="13"/>
  <c r="E143" i="13"/>
  <c r="D143" i="13"/>
  <c r="P142" i="13"/>
  <c r="O142" i="13"/>
  <c r="N142" i="13"/>
  <c r="M142" i="13"/>
  <c r="L142" i="13"/>
  <c r="K142" i="13"/>
  <c r="J142" i="13"/>
  <c r="I142" i="13"/>
  <c r="H142" i="13"/>
  <c r="G142" i="13"/>
  <c r="F142" i="13"/>
  <c r="E142" i="13"/>
  <c r="D142" i="13"/>
  <c r="P139" i="13"/>
  <c r="O139" i="13"/>
  <c r="N139" i="13"/>
  <c r="M139" i="13"/>
  <c r="L139" i="13"/>
  <c r="K139" i="13"/>
  <c r="J139" i="13"/>
  <c r="I139" i="13"/>
  <c r="H139" i="13"/>
  <c r="G139" i="13"/>
  <c r="F139" i="13"/>
  <c r="E139" i="13"/>
  <c r="D139" i="13"/>
  <c r="P138" i="13"/>
  <c r="O138" i="13"/>
  <c r="N138" i="13"/>
  <c r="M138" i="13"/>
  <c r="L138" i="13"/>
  <c r="K138" i="13"/>
  <c r="J138" i="13"/>
  <c r="I138" i="13"/>
  <c r="H138" i="13"/>
  <c r="G138" i="13"/>
  <c r="F138" i="13"/>
  <c r="E138" i="13"/>
  <c r="D138" i="13"/>
  <c r="P137" i="13"/>
  <c r="O137" i="13"/>
  <c r="N137" i="13"/>
  <c r="M137" i="13"/>
  <c r="L137" i="13"/>
  <c r="K137" i="13"/>
  <c r="J137" i="13"/>
  <c r="I137" i="13"/>
  <c r="H137" i="13"/>
  <c r="G137" i="13"/>
  <c r="F137" i="13"/>
  <c r="E137" i="13"/>
  <c r="D137" i="13"/>
  <c r="P134" i="13"/>
  <c r="O134" i="13"/>
  <c r="N134" i="13"/>
  <c r="M134" i="13"/>
  <c r="L134" i="13"/>
  <c r="K134" i="13"/>
  <c r="J134" i="13"/>
  <c r="I134" i="13"/>
  <c r="H134" i="13"/>
  <c r="G134" i="13"/>
  <c r="F134" i="13"/>
  <c r="E134" i="13"/>
  <c r="D134" i="13"/>
  <c r="P133" i="13"/>
  <c r="O133" i="13"/>
  <c r="N133" i="13"/>
  <c r="M133" i="13"/>
  <c r="L133" i="13"/>
  <c r="K133" i="13"/>
  <c r="J133" i="13"/>
  <c r="I133" i="13"/>
  <c r="H133" i="13"/>
  <c r="G133" i="13"/>
  <c r="F133" i="13"/>
  <c r="E133" i="13"/>
  <c r="D133" i="13"/>
  <c r="P132" i="13"/>
  <c r="O132" i="13"/>
  <c r="N132" i="13"/>
  <c r="M132" i="13"/>
  <c r="L132" i="13"/>
  <c r="K132" i="13"/>
  <c r="J132" i="13"/>
  <c r="I132" i="13"/>
  <c r="H132" i="13"/>
  <c r="G132" i="13"/>
  <c r="F132" i="13"/>
  <c r="E132" i="13"/>
  <c r="D132" i="13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D129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K124" i="13"/>
  <c r="J124" i="13"/>
  <c r="I124" i="13"/>
  <c r="H124" i="13"/>
  <c r="G124" i="13"/>
  <c r="F124" i="13"/>
  <c r="E124" i="13"/>
  <c r="D124" i="13"/>
  <c r="P123" i="13"/>
  <c r="O123" i="13"/>
  <c r="N123" i="13"/>
  <c r="M123" i="13"/>
  <c r="L123" i="13"/>
  <c r="K123" i="13"/>
  <c r="J123" i="13"/>
  <c r="I123" i="13"/>
  <c r="H123" i="13"/>
  <c r="G123" i="13"/>
  <c r="F123" i="13"/>
  <c r="E123" i="13"/>
  <c r="D123" i="13"/>
  <c r="D122" i="13"/>
  <c r="P119" i="13"/>
  <c r="O119" i="13"/>
  <c r="N119" i="13"/>
  <c r="M119" i="13"/>
  <c r="L119" i="13"/>
  <c r="K119" i="13"/>
  <c r="J119" i="13"/>
  <c r="I119" i="13"/>
  <c r="H119" i="13"/>
  <c r="G119" i="13"/>
  <c r="F119" i="13"/>
  <c r="E119" i="13"/>
  <c r="D119" i="13"/>
  <c r="P118" i="13"/>
  <c r="O118" i="13"/>
  <c r="N118" i="13"/>
  <c r="M118" i="13"/>
  <c r="L118" i="13"/>
  <c r="K118" i="13"/>
  <c r="J118" i="13"/>
  <c r="I118" i="13"/>
  <c r="H118" i="13"/>
  <c r="G118" i="13"/>
  <c r="F118" i="13"/>
  <c r="E118" i="13"/>
  <c r="D118" i="13"/>
  <c r="D117" i="13"/>
  <c r="P97" i="13"/>
  <c r="O97" i="13"/>
  <c r="N97" i="13"/>
  <c r="M97" i="13"/>
  <c r="L97" i="13"/>
  <c r="K97" i="13"/>
  <c r="J97" i="13"/>
  <c r="I97" i="13"/>
  <c r="H97" i="13"/>
  <c r="G97" i="13"/>
  <c r="F97" i="13"/>
  <c r="E97" i="13"/>
  <c r="D97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D96" i="13"/>
  <c r="D95" i="13"/>
  <c r="P92" i="13"/>
  <c r="O92" i="13"/>
  <c r="N92" i="13"/>
  <c r="M92" i="13"/>
  <c r="L92" i="13"/>
  <c r="K92" i="13"/>
  <c r="J92" i="13"/>
  <c r="I92" i="13"/>
  <c r="H92" i="13"/>
  <c r="G92" i="13"/>
  <c r="F92" i="13"/>
  <c r="E92" i="13"/>
  <c r="D92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P87" i="13"/>
  <c r="O87" i="13"/>
  <c r="N87" i="13"/>
  <c r="M87" i="13"/>
  <c r="L87" i="13"/>
  <c r="K87" i="13"/>
  <c r="J87" i="13"/>
  <c r="I87" i="13"/>
  <c r="H87" i="13"/>
  <c r="G87" i="13"/>
  <c r="F87" i="13"/>
  <c r="E87" i="13"/>
  <c r="D87" i="13"/>
  <c r="P86" i="13"/>
  <c r="O86" i="13"/>
  <c r="N86" i="13"/>
  <c r="M86" i="13"/>
  <c r="L86" i="13"/>
  <c r="K86" i="13"/>
  <c r="J86" i="13"/>
  <c r="I86" i="13"/>
  <c r="H86" i="13"/>
  <c r="G86" i="13"/>
  <c r="F86" i="13"/>
  <c r="E86" i="13"/>
  <c r="D86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P77" i="13"/>
  <c r="O77" i="13"/>
  <c r="N77" i="13"/>
  <c r="M77" i="13"/>
  <c r="L77" i="13"/>
  <c r="K77" i="13"/>
  <c r="J77" i="13"/>
  <c r="I77" i="13"/>
  <c r="H77" i="13"/>
  <c r="G77" i="13"/>
  <c r="F77" i="13"/>
  <c r="E77" i="13"/>
  <c r="D77" i="13"/>
  <c r="P76" i="13"/>
  <c r="O76" i="13"/>
  <c r="N76" i="13"/>
  <c r="M76" i="13"/>
  <c r="L76" i="13"/>
  <c r="K76" i="13"/>
  <c r="J76" i="13"/>
  <c r="I76" i="13"/>
  <c r="H76" i="13"/>
  <c r="G76" i="13"/>
  <c r="F76" i="13"/>
  <c r="E76" i="13"/>
  <c r="D76" i="13"/>
  <c r="D75" i="13"/>
  <c r="P65" i="13"/>
  <c r="O65" i="13"/>
  <c r="N65" i="13"/>
  <c r="M65" i="13"/>
  <c r="L65" i="13"/>
  <c r="K65" i="13"/>
  <c r="J65" i="13"/>
  <c r="I65" i="13"/>
  <c r="H65" i="13"/>
  <c r="G65" i="13"/>
  <c r="F65" i="13"/>
  <c r="E65" i="13"/>
  <c r="D65" i="13"/>
  <c r="Q64" i="13"/>
  <c r="P64" i="13"/>
  <c r="O64" i="13"/>
  <c r="N64" i="13"/>
  <c r="M64" i="13"/>
  <c r="L64" i="13"/>
  <c r="K64" i="13"/>
  <c r="J64" i="13"/>
  <c r="I64" i="13"/>
  <c r="H64" i="13"/>
  <c r="G64" i="13"/>
  <c r="F64" i="13"/>
  <c r="E64" i="13"/>
  <c r="D64" i="13"/>
  <c r="D63" i="13"/>
  <c r="P60" i="13"/>
  <c r="O60" i="13"/>
  <c r="N60" i="13"/>
  <c r="M60" i="13"/>
  <c r="L60" i="13"/>
  <c r="K60" i="13"/>
  <c r="J60" i="13"/>
  <c r="I60" i="13"/>
  <c r="H60" i="13"/>
  <c r="G60" i="13"/>
  <c r="F60" i="13"/>
  <c r="D60" i="13"/>
  <c r="P59" i="13"/>
  <c r="O59" i="13"/>
  <c r="N59" i="13"/>
  <c r="M59" i="13"/>
  <c r="L59" i="13"/>
  <c r="K59" i="13"/>
  <c r="J59" i="13"/>
  <c r="I59" i="13"/>
  <c r="H59" i="13"/>
  <c r="G59" i="13"/>
  <c r="F59" i="13"/>
  <c r="E59" i="13"/>
  <c r="D59" i="13"/>
  <c r="D58" i="13"/>
  <c r="P54" i="13"/>
  <c r="O54" i="13"/>
  <c r="N54" i="13"/>
  <c r="M54" i="13"/>
  <c r="L54" i="13"/>
  <c r="K54" i="13"/>
  <c r="J54" i="13"/>
  <c r="I54" i="13"/>
  <c r="H54" i="13"/>
  <c r="G54" i="13"/>
  <c r="F54" i="13"/>
  <c r="E54" i="13"/>
  <c r="D54" i="13"/>
  <c r="P53" i="13"/>
  <c r="O53" i="13"/>
  <c r="N53" i="13"/>
  <c r="M53" i="13"/>
  <c r="L53" i="13"/>
  <c r="K53" i="13"/>
  <c r="J53" i="13"/>
  <c r="I53" i="13"/>
  <c r="H53" i="13"/>
  <c r="G53" i="13"/>
  <c r="F53" i="13"/>
  <c r="E53" i="13"/>
  <c r="D53" i="13"/>
  <c r="D52" i="13"/>
  <c r="P49" i="13"/>
  <c r="O49" i="13"/>
  <c r="N49" i="13"/>
  <c r="M49" i="13"/>
  <c r="L49" i="13"/>
  <c r="K49" i="13"/>
  <c r="J49" i="13"/>
  <c r="I49" i="13"/>
  <c r="H49" i="13"/>
  <c r="G49" i="13"/>
  <c r="F49" i="13"/>
  <c r="E49" i="13"/>
  <c r="D49" i="13"/>
  <c r="P48" i="13"/>
  <c r="O48" i="13"/>
  <c r="N48" i="13"/>
  <c r="M48" i="13"/>
  <c r="L48" i="13"/>
  <c r="K48" i="13"/>
  <c r="J48" i="13"/>
  <c r="I48" i="13"/>
  <c r="H48" i="13"/>
  <c r="G48" i="13"/>
  <c r="F48" i="13"/>
  <c r="E48" i="13"/>
  <c r="D48" i="13"/>
  <c r="D47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D43" i="13"/>
  <c r="D42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D37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P28" i="13"/>
  <c r="O28" i="13"/>
  <c r="N28" i="13"/>
  <c r="M28" i="13"/>
  <c r="L28" i="13"/>
  <c r="K28" i="13"/>
  <c r="J28" i="13"/>
  <c r="I28" i="13"/>
  <c r="H28" i="13"/>
  <c r="G28" i="13"/>
  <c r="F28" i="13"/>
  <c r="E28" i="13"/>
  <c r="D28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D11" i="13"/>
  <c r="D42" i="22"/>
  <c r="J42" i="22"/>
  <c r="F42" i="22"/>
  <c r="Q42" i="22"/>
  <c r="K42" i="22"/>
  <c r="I42" i="22"/>
  <c r="H42" i="22"/>
  <c r="G42" i="22"/>
  <c r="E42" i="22"/>
  <c r="O42" i="20"/>
  <c r="D42" i="20"/>
  <c r="N42" i="20"/>
  <c r="J42" i="20"/>
  <c r="F42" i="20"/>
  <c r="P42" i="20"/>
  <c r="L42" i="20"/>
  <c r="K42" i="20"/>
  <c r="H42" i="20"/>
  <c r="G42" i="20"/>
  <c r="Q26" i="14"/>
  <c r="Q95" i="13" s="1"/>
  <c r="Q94" i="13" s="1"/>
  <c r="P26" i="14"/>
  <c r="P95" i="13" s="1"/>
  <c r="O26" i="14"/>
  <c r="O95" i="13" s="1"/>
  <c r="N26" i="14"/>
  <c r="N95" i="13" s="1"/>
  <c r="M26" i="14"/>
  <c r="M95" i="13" s="1"/>
  <c r="L26" i="14"/>
  <c r="L95" i="13" s="1"/>
  <c r="K26" i="14"/>
  <c r="K95" i="13" s="1"/>
  <c r="J26" i="14"/>
  <c r="J95" i="13" s="1"/>
  <c r="I26" i="14"/>
  <c r="I95" i="13" s="1"/>
  <c r="H26" i="14"/>
  <c r="H95" i="13" s="1"/>
  <c r="G26" i="14"/>
  <c r="G95" i="13" s="1"/>
  <c r="F26" i="14"/>
  <c r="F95" i="13" s="1"/>
  <c r="E26" i="14"/>
  <c r="F22" i="14"/>
  <c r="G22" i="14"/>
  <c r="H22" i="14"/>
  <c r="I22" i="14"/>
  <c r="J22" i="14"/>
  <c r="K22" i="14"/>
  <c r="L22" i="14"/>
  <c r="M22" i="14"/>
  <c r="N22" i="14"/>
  <c r="O22" i="14"/>
  <c r="O29" i="14" s="1"/>
  <c r="P22" i="14"/>
  <c r="Q22" i="14"/>
  <c r="E22" i="14"/>
  <c r="Q32" i="14"/>
  <c r="Q117" i="13" s="1"/>
  <c r="Q116" i="13" s="1"/>
  <c r="P32" i="14"/>
  <c r="P117" i="13" s="1"/>
  <c r="O32" i="14"/>
  <c r="O117" i="13" s="1"/>
  <c r="N32" i="14"/>
  <c r="N117" i="13" s="1"/>
  <c r="M117" i="13"/>
  <c r="L32" i="14"/>
  <c r="L117" i="13" s="1"/>
  <c r="K32" i="14"/>
  <c r="K117" i="13" s="1"/>
  <c r="J32" i="14"/>
  <c r="J117" i="13" s="1"/>
  <c r="I117" i="13"/>
  <c r="H32" i="14"/>
  <c r="H117" i="13" s="1"/>
  <c r="G32" i="14"/>
  <c r="G117" i="13" s="1"/>
  <c r="F32" i="14"/>
  <c r="F117" i="13" s="1"/>
  <c r="E32" i="14"/>
  <c r="F33" i="14"/>
  <c r="F122" i="13" s="1"/>
  <c r="G33" i="14"/>
  <c r="G122" i="13" s="1"/>
  <c r="H33" i="14"/>
  <c r="H122" i="13" s="1"/>
  <c r="I33" i="14"/>
  <c r="I122" i="13" s="1"/>
  <c r="J33" i="14"/>
  <c r="J122" i="13" s="1"/>
  <c r="K33" i="14"/>
  <c r="K122" i="13" s="1"/>
  <c r="L33" i="14"/>
  <c r="L122" i="13" s="1"/>
  <c r="M33" i="14"/>
  <c r="M122" i="13" s="1"/>
  <c r="N33" i="14"/>
  <c r="N122" i="13" s="1"/>
  <c r="O33" i="14"/>
  <c r="P33" i="14"/>
  <c r="P122" i="13" s="1"/>
  <c r="Q33" i="14"/>
  <c r="Q122" i="13" s="1"/>
  <c r="E33" i="14"/>
  <c r="Q15" i="14"/>
  <c r="Q52" i="13" s="1"/>
  <c r="Q51" i="13" s="1"/>
  <c r="P15" i="14"/>
  <c r="P52" i="13" s="1"/>
  <c r="O15" i="14"/>
  <c r="O52" i="13" s="1"/>
  <c r="N15" i="14"/>
  <c r="N52" i="13" s="1"/>
  <c r="M15" i="14"/>
  <c r="M52" i="13" s="1"/>
  <c r="L15" i="14"/>
  <c r="L52" i="13" s="1"/>
  <c r="K15" i="14"/>
  <c r="K52" i="13" s="1"/>
  <c r="J15" i="14"/>
  <c r="J52" i="13" s="1"/>
  <c r="I15" i="14"/>
  <c r="I52" i="13" s="1"/>
  <c r="H15" i="14"/>
  <c r="H52" i="13" s="1"/>
  <c r="G15" i="14"/>
  <c r="G52" i="13" s="1"/>
  <c r="F15" i="14"/>
  <c r="F52" i="13" s="1"/>
  <c r="E15" i="14"/>
  <c r="P147" i="6"/>
  <c r="P433" i="24" s="1"/>
  <c r="O147" i="6"/>
  <c r="O433" i="24" s="1"/>
  <c r="N147" i="6"/>
  <c r="N433" i="24" s="1"/>
  <c r="M147" i="6"/>
  <c r="M433" i="24" s="1"/>
  <c r="L147" i="6"/>
  <c r="K147" i="6"/>
  <c r="K433" i="24" s="1"/>
  <c r="J147" i="6"/>
  <c r="J433" i="24" s="1"/>
  <c r="I147" i="6"/>
  <c r="I433" i="24" s="1"/>
  <c r="H147" i="6"/>
  <c r="H433" i="24" s="1"/>
  <c r="G147" i="6"/>
  <c r="G433" i="24" s="1"/>
  <c r="F147" i="6"/>
  <c r="F433" i="24" s="1"/>
  <c r="E147" i="6"/>
  <c r="E433" i="24" s="1"/>
  <c r="D147" i="6"/>
  <c r="D433" i="24" s="1"/>
  <c r="Q432" i="24"/>
  <c r="P146" i="6"/>
  <c r="P432" i="24" s="1"/>
  <c r="O146" i="6"/>
  <c r="O432" i="24" s="1"/>
  <c r="N146" i="6"/>
  <c r="N432" i="24" s="1"/>
  <c r="M146" i="6"/>
  <c r="M432" i="24" s="1"/>
  <c r="L146" i="6"/>
  <c r="L432" i="24" s="1"/>
  <c r="K146" i="6"/>
  <c r="K432" i="24" s="1"/>
  <c r="J146" i="6"/>
  <c r="J432" i="24" s="1"/>
  <c r="I146" i="6"/>
  <c r="I432" i="24" s="1"/>
  <c r="H146" i="6"/>
  <c r="H432" i="24" s="1"/>
  <c r="G146" i="6"/>
  <c r="G432" i="24" s="1"/>
  <c r="F146" i="6"/>
  <c r="F432" i="24" s="1"/>
  <c r="E146" i="6"/>
  <c r="E432" i="24" s="1"/>
  <c r="D146" i="6"/>
  <c r="Q431" i="24"/>
  <c r="P145" i="6"/>
  <c r="P431" i="24" s="1"/>
  <c r="O145" i="6"/>
  <c r="O431" i="24" s="1"/>
  <c r="N145" i="6"/>
  <c r="N431" i="24" s="1"/>
  <c r="M145" i="6"/>
  <c r="M431" i="24" s="1"/>
  <c r="L145" i="6"/>
  <c r="L431" i="24" s="1"/>
  <c r="K145" i="6"/>
  <c r="K431" i="24" s="1"/>
  <c r="J145" i="6"/>
  <c r="J431" i="24" s="1"/>
  <c r="I145" i="6"/>
  <c r="I431" i="24" s="1"/>
  <c r="H145" i="6"/>
  <c r="H431" i="24" s="1"/>
  <c r="G145" i="6"/>
  <c r="G431" i="24" s="1"/>
  <c r="F145" i="6"/>
  <c r="F431" i="24" s="1"/>
  <c r="E145" i="6"/>
  <c r="E431" i="24" s="1"/>
  <c r="D145" i="6"/>
  <c r="Q423" i="24"/>
  <c r="P137" i="6"/>
  <c r="P423" i="24" s="1"/>
  <c r="O137" i="6"/>
  <c r="O423" i="24" s="1"/>
  <c r="N137" i="6"/>
  <c r="N423" i="24" s="1"/>
  <c r="M137" i="6"/>
  <c r="M423" i="24" s="1"/>
  <c r="L137" i="6"/>
  <c r="L423" i="24" s="1"/>
  <c r="K137" i="6"/>
  <c r="K423" i="24" s="1"/>
  <c r="J137" i="6"/>
  <c r="J423" i="24" s="1"/>
  <c r="I137" i="6"/>
  <c r="I423" i="24" s="1"/>
  <c r="H137" i="6"/>
  <c r="H423" i="24" s="1"/>
  <c r="G137" i="6"/>
  <c r="G423" i="24" s="1"/>
  <c r="F137" i="6"/>
  <c r="F423" i="24" s="1"/>
  <c r="E137" i="6"/>
  <c r="E423" i="24" s="1"/>
  <c r="D137" i="6"/>
  <c r="Q422" i="24"/>
  <c r="P136" i="6"/>
  <c r="P422" i="24" s="1"/>
  <c r="O136" i="6"/>
  <c r="O422" i="24" s="1"/>
  <c r="N136" i="6"/>
  <c r="N422" i="24" s="1"/>
  <c r="M136" i="6"/>
  <c r="M422" i="24" s="1"/>
  <c r="L136" i="6"/>
  <c r="L422" i="24" s="1"/>
  <c r="K136" i="6"/>
  <c r="K422" i="24" s="1"/>
  <c r="J136" i="6"/>
  <c r="J422" i="24" s="1"/>
  <c r="I136" i="6"/>
  <c r="I422" i="24" s="1"/>
  <c r="H136" i="6"/>
  <c r="H422" i="24" s="1"/>
  <c r="G136" i="6"/>
  <c r="G422" i="24" s="1"/>
  <c r="F136" i="6"/>
  <c r="F422" i="24" s="1"/>
  <c r="E136" i="6"/>
  <c r="E422" i="24" s="1"/>
  <c r="D136" i="6"/>
  <c r="P135" i="6"/>
  <c r="P421" i="24" s="1"/>
  <c r="O135" i="6"/>
  <c r="O421" i="24" s="1"/>
  <c r="N135" i="6"/>
  <c r="N421" i="24" s="1"/>
  <c r="M135" i="6"/>
  <c r="M421" i="24" s="1"/>
  <c r="L135" i="6"/>
  <c r="L421" i="24" s="1"/>
  <c r="K135" i="6"/>
  <c r="K421" i="24" s="1"/>
  <c r="J135" i="6"/>
  <c r="J421" i="24" s="1"/>
  <c r="I135" i="6"/>
  <c r="I421" i="24" s="1"/>
  <c r="H135" i="6"/>
  <c r="H421" i="24" s="1"/>
  <c r="G135" i="6"/>
  <c r="G421" i="24" s="1"/>
  <c r="F135" i="6"/>
  <c r="F421" i="24" s="1"/>
  <c r="E135" i="6"/>
  <c r="E421" i="24" s="1"/>
  <c r="D135" i="6"/>
  <c r="P418" i="24"/>
  <c r="O132" i="6"/>
  <c r="O418" i="24" s="1"/>
  <c r="N132" i="6"/>
  <c r="N418" i="24" s="1"/>
  <c r="M132" i="6"/>
  <c r="M418" i="24" s="1"/>
  <c r="L132" i="6"/>
  <c r="K132" i="6"/>
  <c r="K418" i="24" s="1"/>
  <c r="J132" i="6"/>
  <c r="J418" i="24" s="1"/>
  <c r="I132" i="6"/>
  <c r="I418" i="24" s="1"/>
  <c r="H132" i="6"/>
  <c r="H418" i="24" s="1"/>
  <c r="G132" i="6"/>
  <c r="G418" i="24" s="1"/>
  <c r="F132" i="6"/>
  <c r="F418" i="24" s="1"/>
  <c r="E132" i="6"/>
  <c r="E418" i="24" s="1"/>
  <c r="Q417" i="24"/>
  <c r="P417" i="24"/>
  <c r="O131" i="6"/>
  <c r="O417" i="24" s="1"/>
  <c r="N131" i="6"/>
  <c r="N417" i="24" s="1"/>
  <c r="M131" i="6"/>
  <c r="M417" i="24" s="1"/>
  <c r="L131" i="6"/>
  <c r="L417" i="24" s="1"/>
  <c r="K131" i="6"/>
  <c r="K417" i="24" s="1"/>
  <c r="J131" i="6"/>
  <c r="J417" i="24" s="1"/>
  <c r="I131" i="6"/>
  <c r="I417" i="24" s="1"/>
  <c r="H131" i="6"/>
  <c r="H417" i="24" s="1"/>
  <c r="G131" i="6"/>
  <c r="G417" i="24" s="1"/>
  <c r="F131" i="6"/>
  <c r="F417" i="24" s="1"/>
  <c r="E131" i="6"/>
  <c r="E417" i="24" s="1"/>
  <c r="D131" i="6"/>
  <c r="Q416" i="24"/>
  <c r="P416" i="24"/>
  <c r="O130" i="6"/>
  <c r="O416" i="24" s="1"/>
  <c r="N130" i="6"/>
  <c r="N416" i="24" s="1"/>
  <c r="M130" i="6"/>
  <c r="M416" i="24" s="1"/>
  <c r="L130" i="6"/>
  <c r="L416" i="24" s="1"/>
  <c r="K130" i="6"/>
  <c r="K416" i="24" s="1"/>
  <c r="J130" i="6"/>
  <c r="J416" i="24" s="1"/>
  <c r="I130" i="6"/>
  <c r="I416" i="24" s="1"/>
  <c r="H130" i="6"/>
  <c r="H416" i="24" s="1"/>
  <c r="G130" i="6"/>
  <c r="G416" i="24" s="1"/>
  <c r="F130" i="6"/>
  <c r="F416" i="24" s="1"/>
  <c r="E130" i="6"/>
  <c r="E416" i="24" s="1"/>
  <c r="P413" i="24"/>
  <c r="O127" i="6"/>
  <c r="O413" i="24" s="1"/>
  <c r="N127" i="6"/>
  <c r="N413" i="24" s="1"/>
  <c r="M127" i="6"/>
  <c r="M413" i="24" s="1"/>
  <c r="L127" i="6"/>
  <c r="K127" i="6"/>
  <c r="K413" i="24" s="1"/>
  <c r="J127" i="6"/>
  <c r="J413" i="24" s="1"/>
  <c r="I127" i="6"/>
  <c r="I413" i="24" s="1"/>
  <c r="H127" i="6"/>
  <c r="H413" i="24" s="1"/>
  <c r="G127" i="6"/>
  <c r="G413" i="24" s="1"/>
  <c r="F127" i="6"/>
  <c r="F413" i="24" s="1"/>
  <c r="E127" i="6"/>
  <c r="E413" i="24" s="1"/>
  <c r="D127" i="6"/>
  <c r="D413" i="24" s="1"/>
  <c r="Q412" i="24"/>
  <c r="P412" i="24"/>
  <c r="O126" i="6"/>
  <c r="O412" i="24" s="1"/>
  <c r="N126" i="6"/>
  <c r="N412" i="24" s="1"/>
  <c r="M126" i="6"/>
  <c r="M412" i="24" s="1"/>
  <c r="L126" i="6"/>
  <c r="L412" i="24" s="1"/>
  <c r="K126" i="6"/>
  <c r="K412" i="24" s="1"/>
  <c r="J126" i="6"/>
  <c r="J412" i="24" s="1"/>
  <c r="I126" i="6"/>
  <c r="I412" i="24" s="1"/>
  <c r="H126" i="6"/>
  <c r="H412" i="24" s="1"/>
  <c r="G126" i="6"/>
  <c r="G412" i="24" s="1"/>
  <c r="F126" i="6"/>
  <c r="F412" i="24" s="1"/>
  <c r="E126" i="6"/>
  <c r="E412" i="24" s="1"/>
  <c r="D126" i="6"/>
  <c r="Q411" i="24"/>
  <c r="P411" i="24"/>
  <c r="O125" i="6"/>
  <c r="O411" i="24" s="1"/>
  <c r="N125" i="6"/>
  <c r="N411" i="24" s="1"/>
  <c r="M125" i="6"/>
  <c r="M411" i="24" s="1"/>
  <c r="L125" i="6"/>
  <c r="L411" i="24" s="1"/>
  <c r="K125" i="6"/>
  <c r="K411" i="24" s="1"/>
  <c r="J125" i="6"/>
  <c r="J411" i="24" s="1"/>
  <c r="I125" i="6"/>
  <c r="I411" i="24" s="1"/>
  <c r="H125" i="6"/>
  <c r="H411" i="24" s="1"/>
  <c r="G125" i="6"/>
  <c r="G411" i="24" s="1"/>
  <c r="F125" i="6"/>
  <c r="F411" i="24" s="1"/>
  <c r="E125" i="6"/>
  <c r="E411" i="24" s="1"/>
  <c r="D125" i="6"/>
  <c r="P408" i="24"/>
  <c r="O122" i="6"/>
  <c r="O408" i="24" s="1"/>
  <c r="N122" i="6"/>
  <c r="N408" i="24" s="1"/>
  <c r="M122" i="6"/>
  <c r="M408" i="24" s="1"/>
  <c r="L122" i="6"/>
  <c r="L408" i="24" s="1"/>
  <c r="K122" i="6"/>
  <c r="K408" i="24" s="1"/>
  <c r="J122" i="6"/>
  <c r="J408" i="24" s="1"/>
  <c r="I122" i="6"/>
  <c r="I408" i="24" s="1"/>
  <c r="H122" i="6"/>
  <c r="H408" i="24" s="1"/>
  <c r="G122" i="6"/>
  <c r="G408" i="24" s="1"/>
  <c r="F122" i="6"/>
  <c r="F408" i="24" s="1"/>
  <c r="E122" i="6"/>
  <c r="E408" i="24" s="1"/>
  <c r="D122" i="6"/>
  <c r="Q407" i="24"/>
  <c r="P407" i="24"/>
  <c r="O121" i="6"/>
  <c r="O407" i="24" s="1"/>
  <c r="N121" i="6"/>
  <c r="N407" i="24" s="1"/>
  <c r="M121" i="6"/>
  <c r="M407" i="24" s="1"/>
  <c r="L121" i="6"/>
  <c r="L407" i="24" s="1"/>
  <c r="K121" i="6"/>
  <c r="K407" i="24" s="1"/>
  <c r="J121" i="6"/>
  <c r="J407" i="24" s="1"/>
  <c r="I121" i="6"/>
  <c r="I407" i="24" s="1"/>
  <c r="H121" i="6"/>
  <c r="H407" i="24" s="1"/>
  <c r="G121" i="6"/>
  <c r="G407" i="24" s="1"/>
  <c r="F121" i="6"/>
  <c r="F407" i="24" s="1"/>
  <c r="E121" i="6"/>
  <c r="E407" i="24" s="1"/>
  <c r="D121" i="6"/>
  <c r="Q406" i="24"/>
  <c r="P406" i="24"/>
  <c r="O120" i="6"/>
  <c r="O406" i="24" s="1"/>
  <c r="N120" i="6"/>
  <c r="N406" i="24" s="1"/>
  <c r="M120" i="6"/>
  <c r="M406" i="24" s="1"/>
  <c r="L120" i="6"/>
  <c r="L406" i="24" s="1"/>
  <c r="K120" i="6"/>
  <c r="K406" i="24" s="1"/>
  <c r="J120" i="6"/>
  <c r="J406" i="24" s="1"/>
  <c r="I120" i="6"/>
  <c r="I406" i="24" s="1"/>
  <c r="H120" i="6"/>
  <c r="H406" i="24" s="1"/>
  <c r="G120" i="6"/>
  <c r="G406" i="24" s="1"/>
  <c r="F120" i="6"/>
  <c r="F406" i="24" s="1"/>
  <c r="E120" i="6"/>
  <c r="E406" i="24" s="1"/>
  <c r="D120" i="6"/>
  <c r="Q403" i="24"/>
  <c r="P403" i="24"/>
  <c r="O117" i="6"/>
  <c r="O403" i="24" s="1"/>
  <c r="N117" i="6"/>
  <c r="N403" i="24" s="1"/>
  <c r="M117" i="6"/>
  <c r="M403" i="24" s="1"/>
  <c r="L117" i="6"/>
  <c r="L403" i="24" s="1"/>
  <c r="K117" i="6"/>
  <c r="K403" i="24" s="1"/>
  <c r="J117" i="6"/>
  <c r="J403" i="24" s="1"/>
  <c r="I117" i="6"/>
  <c r="I403" i="24" s="1"/>
  <c r="H117" i="6"/>
  <c r="H403" i="24" s="1"/>
  <c r="G117" i="6"/>
  <c r="G403" i="24" s="1"/>
  <c r="F117" i="6"/>
  <c r="F403" i="24" s="1"/>
  <c r="E117" i="6"/>
  <c r="E403" i="24" s="1"/>
  <c r="D117" i="6"/>
  <c r="Q402" i="24"/>
  <c r="P402" i="24"/>
  <c r="O116" i="6"/>
  <c r="O402" i="24" s="1"/>
  <c r="N116" i="6"/>
  <c r="N402" i="24" s="1"/>
  <c r="M116" i="6"/>
  <c r="M402" i="24" s="1"/>
  <c r="L116" i="6"/>
  <c r="L402" i="24" s="1"/>
  <c r="K116" i="6"/>
  <c r="K402" i="24" s="1"/>
  <c r="J116" i="6"/>
  <c r="J402" i="24" s="1"/>
  <c r="I116" i="6"/>
  <c r="I402" i="24" s="1"/>
  <c r="H116" i="6"/>
  <c r="H402" i="24" s="1"/>
  <c r="G116" i="6"/>
  <c r="G402" i="24" s="1"/>
  <c r="F116" i="6"/>
  <c r="F402" i="24" s="1"/>
  <c r="E116" i="6"/>
  <c r="E402" i="24" s="1"/>
  <c r="D116" i="6"/>
  <c r="Q401" i="24"/>
  <c r="P401" i="24"/>
  <c r="O115" i="6"/>
  <c r="O401" i="24" s="1"/>
  <c r="N115" i="6"/>
  <c r="N401" i="24" s="1"/>
  <c r="M115" i="6"/>
  <c r="M401" i="24" s="1"/>
  <c r="L115" i="6"/>
  <c r="L401" i="24" s="1"/>
  <c r="K115" i="6"/>
  <c r="K401" i="24" s="1"/>
  <c r="J115" i="6"/>
  <c r="J401" i="24" s="1"/>
  <c r="I115" i="6"/>
  <c r="I401" i="24" s="1"/>
  <c r="H115" i="6"/>
  <c r="H401" i="24" s="1"/>
  <c r="G115" i="6"/>
  <c r="G401" i="24" s="1"/>
  <c r="F115" i="6"/>
  <c r="F401" i="24" s="1"/>
  <c r="E115" i="6"/>
  <c r="E401" i="24" s="1"/>
  <c r="D115" i="6"/>
  <c r="Q391" i="24"/>
  <c r="P105" i="6"/>
  <c r="P391" i="24" s="1"/>
  <c r="O105" i="6"/>
  <c r="O391" i="24" s="1"/>
  <c r="N105" i="6"/>
  <c r="N391" i="24" s="1"/>
  <c r="M105" i="6"/>
  <c r="M391" i="24" s="1"/>
  <c r="L105" i="6"/>
  <c r="L391" i="24" s="1"/>
  <c r="K105" i="6"/>
  <c r="K391" i="24" s="1"/>
  <c r="J105" i="6"/>
  <c r="J391" i="24" s="1"/>
  <c r="I105" i="6"/>
  <c r="I391" i="24" s="1"/>
  <c r="H105" i="6"/>
  <c r="H391" i="24" s="1"/>
  <c r="G105" i="6"/>
  <c r="G391" i="24" s="1"/>
  <c r="F105" i="6"/>
  <c r="F391" i="24" s="1"/>
  <c r="E105" i="6"/>
  <c r="E391" i="24" s="1"/>
  <c r="D105" i="6"/>
  <c r="Q390" i="24"/>
  <c r="P104" i="6"/>
  <c r="P390" i="24" s="1"/>
  <c r="O104" i="6"/>
  <c r="O390" i="24" s="1"/>
  <c r="N104" i="6"/>
  <c r="N390" i="24" s="1"/>
  <c r="M104" i="6"/>
  <c r="M390" i="24" s="1"/>
  <c r="L104" i="6"/>
  <c r="L390" i="24" s="1"/>
  <c r="K104" i="6"/>
  <c r="K390" i="24" s="1"/>
  <c r="J104" i="6"/>
  <c r="J390" i="24" s="1"/>
  <c r="I104" i="6"/>
  <c r="I390" i="24" s="1"/>
  <c r="H104" i="6"/>
  <c r="H390" i="24" s="1"/>
  <c r="G104" i="6"/>
  <c r="G390" i="24" s="1"/>
  <c r="F104" i="6"/>
  <c r="F390" i="24" s="1"/>
  <c r="E104" i="6"/>
  <c r="E390" i="24" s="1"/>
  <c r="D104" i="6"/>
  <c r="Q389" i="24"/>
  <c r="P103" i="6"/>
  <c r="P389" i="24" s="1"/>
  <c r="O103" i="6"/>
  <c r="O389" i="24" s="1"/>
  <c r="N103" i="6"/>
  <c r="N389" i="24" s="1"/>
  <c r="M103" i="6"/>
  <c r="M389" i="24" s="1"/>
  <c r="L103" i="6"/>
  <c r="L389" i="24" s="1"/>
  <c r="K103" i="6"/>
  <c r="K389" i="24" s="1"/>
  <c r="J103" i="6"/>
  <c r="J389" i="24" s="1"/>
  <c r="I103" i="6"/>
  <c r="I389" i="24" s="1"/>
  <c r="H103" i="6"/>
  <c r="H389" i="24" s="1"/>
  <c r="G103" i="6"/>
  <c r="G389" i="24" s="1"/>
  <c r="F103" i="6"/>
  <c r="F389" i="24" s="1"/>
  <c r="E103" i="6"/>
  <c r="E389" i="24" s="1"/>
  <c r="D103" i="6"/>
  <c r="P100" i="6"/>
  <c r="P386" i="24" s="1"/>
  <c r="K100" i="6"/>
  <c r="K386" i="24" s="1"/>
  <c r="J100" i="6"/>
  <c r="J386" i="24" s="1"/>
  <c r="I100" i="6"/>
  <c r="I386" i="24" s="1"/>
  <c r="H100" i="6"/>
  <c r="H386" i="24" s="1"/>
  <c r="G100" i="6"/>
  <c r="G386" i="24" s="1"/>
  <c r="F100" i="6"/>
  <c r="F386" i="24" s="1"/>
  <c r="E100" i="6"/>
  <c r="E386" i="24" s="1"/>
  <c r="D100" i="6"/>
  <c r="D386" i="24" s="1"/>
  <c r="Q385" i="24"/>
  <c r="P99" i="6"/>
  <c r="P385" i="24" s="1"/>
  <c r="O99" i="6"/>
  <c r="O385" i="24" s="1"/>
  <c r="N99" i="6"/>
  <c r="N385" i="24" s="1"/>
  <c r="M99" i="6"/>
  <c r="M385" i="24" s="1"/>
  <c r="L99" i="6"/>
  <c r="L385" i="24" s="1"/>
  <c r="K99" i="6"/>
  <c r="K385" i="24" s="1"/>
  <c r="J99" i="6"/>
  <c r="J385" i="24" s="1"/>
  <c r="I99" i="6"/>
  <c r="I385" i="24" s="1"/>
  <c r="H99" i="6"/>
  <c r="H385" i="24" s="1"/>
  <c r="G99" i="6"/>
  <c r="G385" i="24" s="1"/>
  <c r="F99" i="6"/>
  <c r="F385" i="24" s="1"/>
  <c r="E99" i="6"/>
  <c r="E385" i="24" s="1"/>
  <c r="D99" i="6"/>
  <c r="Q384" i="24"/>
  <c r="P98" i="6"/>
  <c r="P384" i="24" s="1"/>
  <c r="O98" i="6"/>
  <c r="O384" i="24" s="1"/>
  <c r="N98" i="6"/>
  <c r="N384" i="24" s="1"/>
  <c r="M98" i="6"/>
  <c r="M384" i="24" s="1"/>
  <c r="L98" i="6"/>
  <c r="L384" i="24" s="1"/>
  <c r="K98" i="6"/>
  <c r="K384" i="24" s="1"/>
  <c r="J98" i="6"/>
  <c r="J384" i="24" s="1"/>
  <c r="I98" i="6"/>
  <c r="I384" i="24" s="1"/>
  <c r="H98" i="6"/>
  <c r="H384" i="24" s="1"/>
  <c r="G98" i="6"/>
  <c r="G384" i="24" s="1"/>
  <c r="F98" i="6"/>
  <c r="F384" i="24" s="1"/>
  <c r="E98" i="6"/>
  <c r="E384" i="24" s="1"/>
  <c r="D98" i="6"/>
  <c r="P95" i="6"/>
  <c r="P376" i="24" s="1"/>
  <c r="O95" i="6"/>
  <c r="O376" i="24" s="1"/>
  <c r="N95" i="6"/>
  <c r="N376" i="24" s="1"/>
  <c r="M95" i="6"/>
  <c r="M376" i="24" s="1"/>
  <c r="L95" i="6"/>
  <c r="L376" i="24" s="1"/>
  <c r="K95" i="6"/>
  <c r="K376" i="24" s="1"/>
  <c r="J95" i="6"/>
  <c r="J376" i="24" s="1"/>
  <c r="I95" i="6"/>
  <c r="I376" i="24" s="1"/>
  <c r="H95" i="6"/>
  <c r="H376" i="24" s="1"/>
  <c r="G95" i="6"/>
  <c r="G376" i="24" s="1"/>
  <c r="F95" i="6"/>
  <c r="F376" i="24" s="1"/>
  <c r="E95" i="6"/>
  <c r="E376" i="24" s="1"/>
  <c r="D95" i="6"/>
  <c r="Q375" i="24"/>
  <c r="P94" i="6"/>
  <c r="P375" i="24" s="1"/>
  <c r="O94" i="6"/>
  <c r="O375" i="24" s="1"/>
  <c r="N94" i="6"/>
  <c r="N375" i="24" s="1"/>
  <c r="M94" i="6"/>
  <c r="M375" i="24" s="1"/>
  <c r="L94" i="6"/>
  <c r="L375" i="24" s="1"/>
  <c r="K94" i="6"/>
  <c r="K375" i="24" s="1"/>
  <c r="J94" i="6"/>
  <c r="J375" i="24" s="1"/>
  <c r="I94" i="6"/>
  <c r="I375" i="24" s="1"/>
  <c r="H94" i="6"/>
  <c r="H375" i="24" s="1"/>
  <c r="G94" i="6"/>
  <c r="G375" i="24" s="1"/>
  <c r="F94" i="6"/>
  <c r="F375" i="24" s="1"/>
  <c r="E94" i="6"/>
  <c r="E375" i="24" s="1"/>
  <c r="D94" i="6"/>
  <c r="Q374" i="24"/>
  <c r="P93" i="6"/>
  <c r="P374" i="24" s="1"/>
  <c r="O93" i="6"/>
  <c r="O374" i="24" s="1"/>
  <c r="N93" i="6"/>
  <c r="N374" i="24" s="1"/>
  <c r="M93" i="6"/>
  <c r="M374" i="24" s="1"/>
  <c r="L93" i="6"/>
  <c r="L374" i="24" s="1"/>
  <c r="K93" i="6"/>
  <c r="K374" i="24" s="1"/>
  <c r="J93" i="6"/>
  <c r="J374" i="24" s="1"/>
  <c r="I93" i="6"/>
  <c r="I374" i="24" s="1"/>
  <c r="H93" i="6"/>
  <c r="H374" i="24" s="1"/>
  <c r="G93" i="6"/>
  <c r="G374" i="24" s="1"/>
  <c r="F93" i="6"/>
  <c r="F374" i="24" s="1"/>
  <c r="E93" i="6"/>
  <c r="E374" i="24" s="1"/>
  <c r="D93" i="6"/>
  <c r="P90" i="6"/>
  <c r="P371" i="24" s="1"/>
  <c r="O90" i="6"/>
  <c r="O371" i="24" s="1"/>
  <c r="N90" i="6"/>
  <c r="N371" i="24" s="1"/>
  <c r="M90" i="6"/>
  <c r="M371" i="24" s="1"/>
  <c r="L90" i="6"/>
  <c r="L371" i="24" s="1"/>
  <c r="K90" i="6"/>
  <c r="K371" i="24" s="1"/>
  <c r="J90" i="6"/>
  <c r="J371" i="24" s="1"/>
  <c r="I90" i="6"/>
  <c r="H90" i="6"/>
  <c r="H371" i="24" s="1"/>
  <c r="G90" i="6"/>
  <c r="G371" i="24" s="1"/>
  <c r="F90" i="6"/>
  <c r="F371" i="24" s="1"/>
  <c r="E90" i="6"/>
  <c r="E371" i="24" s="1"/>
  <c r="D90" i="6"/>
  <c r="D371" i="24" s="1"/>
  <c r="Q370" i="24"/>
  <c r="P89" i="6"/>
  <c r="P370" i="24" s="1"/>
  <c r="O89" i="6"/>
  <c r="O370" i="24" s="1"/>
  <c r="N89" i="6"/>
  <c r="N370" i="24" s="1"/>
  <c r="M89" i="6"/>
  <c r="M370" i="24" s="1"/>
  <c r="L89" i="6"/>
  <c r="L370" i="24" s="1"/>
  <c r="K89" i="6"/>
  <c r="K370" i="24" s="1"/>
  <c r="J89" i="6"/>
  <c r="J370" i="24" s="1"/>
  <c r="I89" i="6"/>
  <c r="H89" i="6"/>
  <c r="H370" i="24" s="1"/>
  <c r="G89" i="6"/>
  <c r="G370" i="24" s="1"/>
  <c r="F89" i="6"/>
  <c r="F370" i="24" s="1"/>
  <c r="E89" i="6"/>
  <c r="E370" i="24" s="1"/>
  <c r="D89" i="6"/>
  <c r="D370" i="24" s="1"/>
  <c r="Q369" i="24"/>
  <c r="P88" i="6"/>
  <c r="P369" i="24" s="1"/>
  <c r="O88" i="6"/>
  <c r="O369" i="24" s="1"/>
  <c r="N88" i="6"/>
  <c r="N369" i="24" s="1"/>
  <c r="M88" i="6"/>
  <c r="M369" i="24" s="1"/>
  <c r="L88" i="6"/>
  <c r="L369" i="24" s="1"/>
  <c r="K88" i="6"/>
  <c r="K369" i="24" s="1"/>
  <c r="J88" i="6"/>
  <c r="J369" i="24" s="1"/>
  <c r="I88" i="6"/>
  <c r="H88" i="6"/>
  <c r="H369" i="24" s="1"/>
  <c r="G88" i="6"/>
  <c r="G369" i="24" s="1"/>
  <c r="F88" i="6"/>
  <c r="F369" i="24" s="1"/>
  <c r="E88" i="6"/>
  <c r="E369" i="24" s="1"/>
  <c r="D88" i="6"/>
  <c r="D369" i="24" s="1"/>
  <c r="Q366" i="24"/>
  <c r="P85" i="6"/>
  <c r="P366" i="24" s="1"/>
  <c r="O85" i="6"/>
  <c r="O366" i="24" s="1"/>
  <c r="N85" i="6"/>
  <c r="N366" i="24" s="1"/>
  <c r="M85" i="6"/>
  <c r="M366" i="24" s="1"/>
  <c r="L85" i="6"/>
  <c r="L366" i="24" s="1"/>
  <c r="K85" i="6"/>
  <c r="K366" i="24" s="1"/>
  <c r="J85" i="6"/>
  <c r="J366" i="24" s="1"/>
  <c r="I85" i="6"/>
  <c r="I366" i="24" s="1"/>
  <c r="H85" i="6"/>
  <c r="H366" i="24" s="1"/>
  <c r="G85" i="6"/>
  <c r="G366" i="24" s="1"/>
  <c r="F85" i="6"/>
  <c r="F366" i="24" s="1"/>
  <c r="E85" i="6"/>
  <c r="E366" i="24" s="1"/>
  <c r="D85" i="6"/>
  <c r="Q365" i="24"/>
  <c r="P84" i="6"/>
  <c r="P365" i="24" s="1"/>
  <c r="O84" i="6"/>
  <c r="O365" i="24" s="1"/>
  <c r="N84" i="6"/>
  <c r="N365" i="24" s="1"/>
  <c r="M84" i="6"/>
  <c r="M365" i="24" s="1"/>
  <c r="L84" i="6"/>
  <c r="L365" i="24" s="1"/>
  <c r="K84" i="6"/>
  <c r="K365" i="24" s="1"/>
  <c r="J84" i="6"/>
  <c r="J365" i="24" s="1"/>
  <c r="I84" i="6"/>
  <c r="H84" i="6"/>
  <c r="H365" i="24" s="1"/>
  <c r="G84" i="6"/>
  <c r="G365" i="24" s="1"/>
  <c r="F84" i="6"/>
  <c r="F365" i="24" s="1"/>
  <c r="E84" i="6"/>
  <c r="E365" i="24" s="1"/>
  <c r="D84" i="6"/>
  <c r="D365" i="24" s="1"/>
  <c r="Q364" i="24"/>
  <c r="P83" i="6"/>
  <c r="P364" i="24" s="1"/>
  <c r="O83" i="6"/>
  <c r="O364" i="24" s="1"/>
  <c r="N83" i="6"/>
  <c r="N364" i="24" s="1"/>
  <c r="M83" i="6"/>
  <c r="M364" i="24" s="1"/>
  <c r="L83" i="6"/>
  <c r="L364" i="24" s="1"/>
  <c r="K83" i="6"/>
  <c r="K364" i="24" s="1"/>
  <c r="J83" i="6"/>
  <c r="J364" i="24" s="1"/>
  <c r="I83" i="6"/>
  <c r="I364" i="24" s="1"/>
  <c r="H83" i="6"/>
  <c r="H364" i="24" s="1"/>
  <c r="G83" i="6"/>
  <c r="G364" i="24" s="1"/>
  <c r="F83" i="6"/>
  <c r="F364" i="24" s="1"/>
  <c r="E83" i="6"/>
  <c r="E364" i="24" s="1"/>
  <c r="D83" i="6"/>
  <c r="P80" i="6"/>
  <c r="P361" i="24" s="1"/>
  <c r="O80" i="6"/>
  <c r="O361" i="24" s="1"/>
  <c r="N80" i="6"/>
  <c r="N361" i="24" s="1"/>
  <c r="M80" i="6"/>
  <c r="M361" i="24" s="1"/>
  <c r="L80" i="6"/>
  <c r="L361" i="24" s="1"/>
  <c r="K80" i="6"/>
  <c r="K361" i="24" s="1"/>
  <c r="J80" i="6"/>
  <c r="J361" i="24" s="1"/>
  <c r="I80" i="6"/>
  <c r="I361" i="24" s="1"/>
  <c r="H80" i="6"/>
  <c r="H361" i="24" s="1"/>
  <c r="G80" i="6"/>
  <c r="G361" i="24" s="1"/>
  <c r="F80" i="6"/>
  <c r="F361" i="24" s="1"/>
  <c r="E80" i="6"/>
  <c r="E361" i="24" s="1"/>
  <c r="Q360" i="24"/>
  <c r="P79" i="6"/>
  <c r="P360" i="24" s="1"/>
  <c r="O79" i="6"/>
  <c r="O360" i="24" s="1"/>
  <c r="N79" i="6"/>
  <c r="N360" i="24" s="1"/>
  <c r="M79" i="6"/>
  <c r="M360" i="24" s="1"/>
  <c r="L79" i="6"/>
  <c r="L360" i="24" s="1"/>
  <c r="K79" i="6"/>
  <c r="K360" i="24" s="1"/>
  <c r="J79" i="6"/>
  <c r="J360" i="24" s="1"/>
  <c r="I79" i="6"/>
  <c r="H79" i="6"/>
  <c r="H360" i="24" s="1"/>
  <c r="G79" i="6"/>
  <c r="G360" i="24" s="1"/>
  <c r="F79" i="6"/>
  <c r="F360" i="24" s="1"/>
  <c r="E79" i="6"/>
  <c r="E360" i="24" s="1"/>
  <c r="D79" i="6"/>
  <c r="D360" i="24" s="1"/>
  <c r="Q359" i="24"/>
  <c r="P78" i="6"/>
  <c r="P359" i="24" s="1"/>
  <c r="O78" i="6"/>
  <c r="O359" i="24" s="1"/>
  <c r="N78" i="6"/>
  <c r="N359" i="24" s="1"/>
  <c r="M78" i="6"/>
  <c r="M359" i="24" s="1"/>
  <c r="L78" i="6"/>
  <c r="L359" i="24" s="1"/>
  <c r="K78" i="6"/>
  <c r="K359" i="24" s="1"/>
  <c r="J78" i="6"/>
  <c r="J359" i="24" s="1"/>
  <c r="I78" i="6"/>
  <c r="H78" i="6"/>
  <c r="H359" i="24" s="1"/>
  <c r="G78" i="6"/>
  <c r="G359" i="24" s="1"/>
  <c r="F78" i="6"/>
  <c r="F359" i="24" s="1"/>
  <c r="E78" i="6"/>
  <c r="E359" i="24" s="1"/>
  <c r="D78" i="6"/>
  <c r="D359" i="24" s="1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Q355" i="24"/>
  <c r="P74" i="6"/>
  <c r="P355" i="24" s="1"/>
  <c r="O74" i="6"/>
  <c r="O355" i="24" s="1"/>
  <c r="N74" i="6"/>
  <c r="N355" i="24" s="1"/>
  <c r="M74" i="6"/>
  <c r="M355" i="24" s="1"/>
  <c r="L74" i="6"/>
  <c r="L355" i="24" s="1"/>
  <c r="K74" i="6"/>
  <c r="K355" i="24" s="1"/>
  <c r="J74" i="6"/>
  <c r="J355" i="24" s="1"/>
  <c r="I74" i="6"/>
  <c r="I355" i="24" s="1"/>
  <c r="H74" i="6"/>
  <c r="H355" i="24" s="1"/>
  <c r="G74" i="6"/>
  <c r="G355" i="24" s="1"/>
  <c r="F74" i="6"/>
  <c r="F355" i="24" s="1"/>
  <c r="E74" i="6"/>
  <c r="E355" i="24" s="1"/>
  <c r="D74" i="6"/>
  <c r="Q354" i="24"/>
  <c r="P73" i="6"/>
  <c r="P354" i="24" s="1"/>
  <c r="O73" i="6"/>
  <c r="O354" i="24" s="1"/>
  <c r="N73" i="6"/>
  <c r="N354" i="24" s="1"/>
  <c r="M73" i="6"/>
  <c r="M354" i="24" s="1"/>
  <c r="L73" i="6"/>
  <c r="L354" i="24" s="1"/>
  <c r="K73" i="6"/>
  <c r="K354" i="24" s="1"/>
  <c r="J73" i="6"/>
  <c r="J354" i="24" s="1"/>
  <c r="I73" i="6"/>
  <c r="I354" i="24" s="1"/>
  <c r="H73" i="6"/>
  <c r="H354" i="24" s="1"/>
  <c r="G73" i="6"/>
  <c r="G354" i="24" s="1"/>
  <c r="F73" i="6"/>
  <c r="F354" i="24" s="1"/>
  <c r="E73" i="6"/>
  <c r="E354" i="24" s="1"/>
  <c r="D73" i="6"/>
  <c r="P63" i="6"/>
  <c r="P344" i="24" s="1"/>
  <c r="O63" i="6"/>
  <c r="O344" i="24" s="1"/>
  <c r="N63" i="6"/>
  <c r="N344" i="24" s="1"/>
  <c r="M63" i="6"/>
  <c r="M344" i="24" s="1"/>
  <c r="L63" i="6"/>
  <c r="L344" i="24" s="1"/>
  <c r="K63" i="6"/>
  <c r="K344" i="24" s="1"/>
  <c r="J63" i="6"/>
  <c r="J344" i="24" s="1"/>
  <c r="I63" i="6"/>
  <c r="H63" i="6"/>
  <c r="H344" i="24" s="1"/>
  <c r="G63" i="6"/>
  <c r="G344" i="24" s="1"/>
  <c r="F63" i="6"/>
  <c r="F344" i="24" s="1"/>
  <c r="E63" i="6"/>
  <c r="E344" i="24" s="1"/>
  <c r="D63" i="6"/>
  <c r="D344" i="24" s="1"/>
  <c r="Q343" i="24"/>
  <c r="P62" i="6"/>
  <c r="P343" i="24" s="1"/>
  <c r="O62" i="6"/>
  <c r="O343" i="24" s="1"/>
  <c r="N62" i="6"/>
  <c r="N343" i="24" s="1"/>
  <c r="M62" i="6"/>
  <c r="M343" i="24" s="1"/>
  <c r="L62" i="6"/>
  <c r="L343" i="24" s="1"/>
  <c r="K62" i="6"/>
  <c r="K343" i="24" s="1"/>
  <c r="J62" i="6"/>
  <c r="J343" i="24" s="1"/>
  <c r="I62" i="6"/>
  <c r="I343" i="24" s="1"/>
  <c r="H62" i="6"/>
  <c r="H343" i="24" s="1"/>
  <c r="G62" i="6"/>
  <c r="G343" i="24" s="1"/>
  <c r="F62" i="6"/>
  <c r="F343" i="24" s="1"/>
  <c r="E62" i="6"/>
  <c r="E343" i="24" s="1"/>
  <c r="D62" i="6"/>
  <c r="Q342" i="24"/>
  <c r="P61" i="6"/>
  <c r="P342" i="24" s="1"/>
  <c r="O61" i="6"/>
  <c r="O342" i="24" s="1"/>
  <c r="N61" i="6"/>
  <c r="N342" i="24" s="1"/>
  <c r="M61" i="6"/>
  <c r="M342" i="24" s="1"/>
  <c r="L61" i="6"/>
  <c r="L342" i="24" s="1"/>
  <c r="K61" i="6"/>
  <c r="K342" i="24" s="1"/>
  <c r="J61" i="6"/>
  <c r="J342" i="24" s="1"/>
  <c r="I61" i="6"/>
  <c r="I342" i="24" s="1"/>
  <c r="H61" i="6"/>
  <c r="H342" i="24" s="1"/>
  <c r="G61" i="6"/>
  <c r="G342" i="24" s="1"/>
  <c r="F61" i="6"/>
  <c r="F342" i="24" s="1"/>
  <c r="E61" i="6"/>
  <c r="E342" i="24" s="1"/>
  <c r="D61" i="6"/>
  <c r="P58" i="6"/>
  <c r="P339" i="24" s="1"/>
  <c r="O58" i="6"/>
  <c r="O339" i="24" s="1"/>
  <c r="N58" i="6"/>
  <c r="N339" i="24" s="1"/>
  <c r="M58" i="6"/>
  <c r="M339" i="24" s="1"/>
  <c r="L58" i="6"/>
  <c r="L339" i="24" s="1"/>
  <c r="K58" i="6"/>
  <c r="K339" i="24" s="1"/>
  <c r="J58" i="6"/>
  <c r="J339" i="24" s="1"/>
  <c r="I58" i="6"/>
  <c r="I339" i="24" s="1"/>
  <c r="H58" i="6"/>
  <c r="H339" i="24" s="1"/>
  <c r="G58" i="6"/>
  <c r="G339" i="24" s="1"/>
  <c r="F58" i="6"/>
  <c r="F339" i="24" s="1"/>
  <c r="E58" i="6"/>
  <c r="E339" i="24" s="1"/>
  <c r="D58" i="6"/>
  <c r="Q338" i="24"/>
  <c r="P57" i="6"/>
  <c r="P338" i="24" s="1"/>
  <c r="O57" i="6"/>
  <c r="O338" i="24" s="1"/>
  <c r="N57" i="6"/>
  <c r="N338" i="24" s="1"/>
  <c r="M57" i="6"/>
  <c r="M338" i="24" s="1"/>
  <c r="L57" i="6"/>
  <c r="L338" i="24" s="1"/>
  <c r="K57" i="6"/>
  <c r="K338" i="24" s="1"/>
  <c r="J57" i="6"/>
  <c r="J338" i="24" s="1"/>
  <c r="I57" i="6"/>
  <c r="I338" i="24" s="1"/>
  <c r="H57" i="6"/>
  <c r="H338" i="24" s="1"/>
  <c r="G57" i="6"/>
  <c r="G338" i="24" s="1"/>
  <c r="F57" i="6"/>
  <c r="F338" i="24" s="1"/>
  <c r="E57" i="6"/>
  <c r="E338" i="24" s="1"/>
  <c r="D57" i="6"/>
  <c r="Q337" i="24"/>
  <c r="P56" i="6"/>
  <c r="P337" i="24" s="1"/>
  <c r="O56" i="6"/>
  <c r="O337" i="24" s="1"/>
  <c r="N56" i="6"/>
  <c r="N337" i="24" s="1"/>
  <c r="M56" i="6"/>
  <c r="M337" i="24" s="1"/>
  <c r="L56" i="6"/>
  <c r="L337" i="24" s="1"/>
  <c r="K56" i="6"/>
  <c r="K337" i="24" s="1"/>
  <c r="J56" i="6"/>
  <c r="J337" i="24" s="1"/>
  <c r="I56" i="6"/>
  <c r="I337" i="24" s="1"/>
  <c r="H56" i="6"/>
  <c r="H337" i="24" s="1"/>
  <c r="G56" i="6"/>
  <c r="G337" i="24" s="1"/>
  <c r="F56" i="6"/>
  <c r="F337" i="24" s="1"/>
  <c r="E56" i="6"/>
  <c r="E337" i="24" s="1"/>
  <c r="D56" i="6"/>
  <c r="Q329" i="24"/>
  <c r="P48" i="6"/>
  <c r="P329" i="24" s="1"/>
  <c r="O48" i="6"/>
  <c r="O329" i="24" s="1"/>
  <c r="N48" i="6"/>
  <c r="N329" i="24" s="1"/>
  <c r="M48" i="6"/>
  <c r="M329" i="24" s="1"/>
  <c r="L48" i="6"/>
  <c r="L329" i="24" s="1"/>
  <c r="K48" i="6"/>
  <c r="K329" i="24" s="1"/>
  <c r="J48" i="6"/>
  <c r="J329" i="24" s="1"/>
  <c r="I48" i="6"/>
  <c r="I329" i="24" s="1"/>
  <c r="H48" i="6"/>
  <c r="H329" i="24" s="1"/>
  <c r="G48" i="6"/>
  <c r="G329" i="24" s="1"/>
  <c r="F48" i="6"/>
  <c r="F329" i="24" s="1"/>
  <c r="E48" i="6"/>
  <c r="E329" i="24" s="1"/>
  <c r="D48" i="6"/>
  <c r="Q328" i="24"/>
  <c r="P47" i="6"/>
  <c r="P328" i="24" s="1"/>
  <c r="O47" i="6"/>
  <c r="O328" i="24" s="1"/>
  <c r="N47" i="6"/>
  <c r="N328" i="24" s="1"/>
  <c r="M47" i="6"/>
  <c r="M328" i="24" s="1"/>
  <c r="L47" i="6"/>
  <c r="L328" i="24" s="1"/>
  <c r="K47" i="6"/>
  <c r="K328" i="24" s="1"/>
  <c r="J47" i="6"/>
  <c r="J328" i="24" s="1"/>
  <c r="I47" i="6"/>
  <c r="I328" i="24" s="1"/>
  <c r="H47" i="6"/>
  <c r="H328" i="24" s="1"/>
  <c r="G47" i="6"/>
  <c r="G328" i="24" s="1"/>
  <c r="F47" i="6"/>
  <c r="F328" i="24" s="1"/>
  <c r="E47" i="6"/>
  <c r="E328" i="24" s="1"/>
  <c r="D47" i="6"/>
  <c r="Q327" i="24"/>
  <c r="P46" i="6"/>
  <c r="P327" i="24" s="1"/>
  <c r="O46" i="6"/>
  <c r="O327" i="24" s="1"/>
  <c r="N46" i="6"/>
  <c r="N327" i="24" s="1"/>
  <c r="M46" i="6"/>
  <c r="M327" i="24" s="1"/>
  <c r="L46" i="6"/>
  <c r="L327" i="24" s="1"/>
  <c r="K46" i="6"/>
  <c r="K327" i="24" s="1"/>
  <c r="J46" i="6"/>
  <c r="J327" i="24" s="1"/>
  <c r="I46" i="6"/>
  <c r="I327" i="24" s="1"/>
  <c r="H46" i="6"/>
  <c r="H327" i="24" s="1"/>
  <c r="G46" i="6"/>
  <c r="G327" i="24" s="1"/>
  <c r="F46" i="6"/>
  <c r="F327" i="24" s="1"/>
  <c r="E46" i="6"/>
  <c r="E327" i="24" s="1"/>
  <c r="D46" i="6"/>
  <c r="P43" i="6"/>
  <c r="O43" i="6"/>
  <c r="N43" i="6"/>
  <c r="N324" i="24" s="1"/>
  <c r="M43" i="6"/>
  <c r="L43" i="6"/>
  <c r="K43" i="6"/>
  <c r="J43" i="6"/>
  <c r="J324" i="24" s="1"/>
  <c r="I43" i="6"/>
  <c r="H43" i="6"/>
  <c r="G43" i="6"/>
  <c r="F43" i="6"/>
  <c r="F324" i="24" s="1"/>
  <c r="E43" i="6"/>
  <c r="D43" i="6"/>
  <c r="P42" i="6"/>
  <c r="O42" i="6"/>
  <c r="N42" i="6"/>
  <c r="M42" i="6"/>
  <c r="L42" i="6"/>
  <c r="K42" i="6"/>
  <c r="J42" i="6"/>
  <c r="I42" i="6"/>
  <c r="H42" i="6"/>
  <c r="G42" i="6"/>
  <c r="F42" i="6"/>
  <c r="E42" i="6"/>
  <c r="E323" i="24" s="1"/>
  <c r="D42" i="6"/>
  <c r="P41" i="6"/>
  <c r="O41" i="6"/>
  <c r="O322" i="24" s="1"/>
  <c r="N41" i="6"/>
  <c r="M41" i="6"/>
  <c r="L41" i="6"/>
  <c r="K41" i="6"/>
  <c r="J41" i="6"/>
  <c r="I41" i="6"/>
  <c r="H41" i="6"/>
  <c r="G41" i="6"/>
  <c r="F41" i="6"/>
  <c r="E41" i="6"/>
  <c r="E322" i="24" s="1"/>
  <c r="D41" i="6"/>
  <c r="P38" i="6"/>
  <c r="P319" i="24" s="1"/>
  <c r="O38" i="6"/>
  <c r="O319" i="24" s="1"/>
  <c r="N38" i="6"/>
  <c r="N319" i="24" s="1"/>
  <c r="M38" i="6"/>
  <c r="M319" i="24" s="1"/>
  <c r="L38" i="6"/>
  <c r="L319" i="24" s="1"/>
  <c r="K38" i="6"/>
  <c r="K319" i="24" s="1"/>
  <c r="J38" i="6"/>
  <c r="J319" i="24" s="1"/>
  <c r="I38" i="6"/>
  <c r="I319" i="24" s="1"/>
  <c r="H38" i="6"/>
  <c r="H319" i="24" s="1"/>
  <c r="G38" i="6"/>
  <c r="G319" i="24" s="1"/>
  <c r="F38" i="6"/>
  <c r="F319" i="24" s="1"/>
  <c r="E38" i="6"/>
  <c r="E319" i="24" s="1"/>
  <c r="D38" i="6"/>
  <c r="Q318" i="24"/>
  <c r="P37" i="6"/>
  <c r="P318" i="24" s="1"/>
  <c r="O37" i="6"/>
  <c r="O318" i="24" s="1"/>
  <c r="N37" i="6"/>
  <c r="N318" i="24" s="1"/>
  <c r="M37" i="6"/>
  <c r="M318" i="24" s="1"/>
  <c r="L37" i="6"/>
  <c r="L318" i="24" s="1"/>
  <c r="K37" i="6"/>
  <c r="K318" i="24" s="1"/>
  <c r="J37" i="6"/>
  <c r="J318" i="24" s="1"/>
  <c r="I37" i="6"/>
  <c r="I318" i="24" s="1"/>
  <c r="H37" i="6"/>
  <c r="H318" i="24" s="1"/>
  <c r="G37" i="6"/>
  <c r="G318" i="24" s="1"/>
  <c r="F37" i="6"/>
  <c r="F318" i="24" s="1"/>
  <c r="E37" i="6"/>
  <c r="E318" i="24" s="1"/>
  <c r="D37" i="6"/>
  <c r="Q317" i="24"/>
  <c r="P36" i="6"/>
  <c r="P317" i="24" s="1"/>
  <c r="O36" i="6"/>
  <c r="O317" i="24" s="1"/>
  <c r="N36" i="6"/>
  <c r="N317" i="24" s="1"/>
  <c r="M36" i="6"/>
  <c r="M317" i="24" s="1"/>
  <c r="L36" i="6"/>
  <c r="L317" i="24" s="1"/>
  <c r="K36" i="6"/>
  <c r="K317" i="24" s="1"/>
  <c r="J36" i="6"/>
  <c r="J317" i="24" s="1"/>
  <c r="I36" i="6"/>
  <c r="I317" i="24" s="1"/>
  <c r="H36" i="6"/>
  <c r="H317" i="24" s="1"/>
  <c r="G36" i="6"/>
  <c r="G317" i="24" s="1"/>
  <c r="F36" i="6"/>
  <c r="F317" i="24" s="1"/>
  <c r="E36" i="6"/>
  <c r="E317" i="24" s="1"/>
  <c r="D36" i="6"/>
  <c r="P33" i="6"/>
  <c r="P309" i="24" s="1"/>
  <c r="O33" i="6"/>
  <c r="O309" i="24" s="1"/>
  <c r="N33" i="6"/>
  <c r="N309" i="24" s="1"/>
  <c r="M33" i="6"/>
  <c r="M309" i="24" s="1"/>
  <c r="L33" i="6"/>
  <c r="L309" i="24" s="1"/>
  <c r="K33" i="6"/>
  <c r="K309" i="24" s="1"/>
  <c r="J33" i="6"/>
  <c r="J309" i="24" s="1"/>
  <c r="I33" i="6"/>
  <c r="I309" i="24" s="1"/>
  <c r="H33" i="6"/>
  <c r="H309" i="24" s="1"/>
  <c r="G33" i="6"/>
  <c r="G309" i="24" s="1"/>
  <c r="F33" i="6"/>
  <c r="F309" i="24" s="1"/>
  <c r="E33" i="6"/>
  <c r="E309" i="24" s="1"/>
  <c r="D33" i="6"/>
  <c r="Q308" i="24"/>
  <c r="P32" i="6"/>
  <c r="P308" i="24" s="1"/>
  <c r="O32" i="6"/>
  <c r="O308" i="24" s="1"/>
  <c r="N32" i="6"/>
  <c r="N308" i="24" s="1"/>
  <c r="M32" i="6"/>
  <c r="M308" i="24" s="1"/>
  <c r="L32" i="6"/>
  <c r="L308" i="24" s="1"/>
  <c r="K32" i="6"/>
  <c r="K308" i="24" s="1"/>
  <c r="J32" i="6"/>
  <c r="J308" i="24" s="1"/>
  <c r="I32" i="6"/>
  <c r="I308" i="24" s="1"/>
  <c r="H32" i="6"/>
  <c r="H308" i="24" s="1"/>
  <c r="G32" i="6"/>
  <c r="G308" i="24" s="1"/>
  <c r="F32" i="6"/>
  <c r="F308" i="24" s="1"/>
  <c r="E32" i="6"/>
  <c r="E308" i="24" s="1"/>
  <c r="D32" i="6"/>
  <c r="Q307" i="24"/>
  <c r="P31" i="6"/>
  <c r="P307" i="24" s="1"/>
  <c r="O31" i="6"/>
  <c r="O307" i="24" s="1"/>
  <c r="N31" i="6"/>
  <c r="N307" i="24" s="1"/>
  <c r="M31" i="6"/>
  <c r="M307" i="24" s="1"/>
  <c r="L31" i="6"/>
  <c r="L307" i="24" s="1"/>
  <c r="K31" i="6"/>
  <c r="K307" i="24" s="1"/>
  <c r="J31" i="6"/>
  <c r="J307" i="24" s="1"/>
  <c r="I31" i="6"/>
  <c r="I307" i="24" s="1"/>
  <c r="H31" i="6"/>
  <c r="H307" i="24" s="1"/>
  <c r="G31" i="6"/>
  <c r="G307" i="24" s="1"/>
  <c r="F31" i="6"/>
  <c r="F307" i="24" s="1"/>
  <c r="E31" i="6"/>
  <c r="E307" i="24" s="1"/>
  <c r="D31" i="6"/>
  <c r="P28" i="6"/>
  <c r="P304" i="24" s="1"/>
  <c r="O28" i="6"/>
  <c r="O304" i="24" s="1"/>
  <c r="N28" i="6"/>
  <c r="N304" i="24" s="1"/>
  <c r="M28" i="6"/>
  <c r="M304" i="24" s="1"/>
  <c r="L28" i="6"/>
  <c r="L304" i="24" s="1"/>
  <c r="K28" i="6"/>
  <c r="K304" i="24" s="1"/>
  <c r="J28" i="6"/>
  <c r="J304" i="24" s="1"/>
  <c r="I28" i="6"/>
  <c r="I304" i="24" s="1"/>
  <c r="H28" i="6"/>
  <c r="H304" i="24" s="1"/>
  <c r="G28" i="6"/>
  <c r="G304" i="24" s="1"/>
  <c r="F28" i="6"/>
  <c r="F304" i="24" s="1"/>
  <c r="E28" i="6"/>
  <c r="E304" i="24" s="1"/>
  <c r="D28" i="6"/>
  <c r="Q303" i="24"/>
  <c r="P27" i="6"/>
  <c r="P303" i="24" s="1"/>
  <c r="O27" i="6"/>
  <c r="O303" i="24" s="1"/>
  <c r="N27" i="6"/>
  <c r="N303" i="24" s="1"/>
  <c r="M27" i="6"/>
  <c r="M303" i="24" s="1"/>
  <c r="L27" i="6"/>
  <c r="L303" i="24" s="1"/>
  <c r="K27" i="6"/>
  <c r="K303" i="24" s="1"/>
  <c r="J27" i="6"/>
  <c r="J303" i="24" s="1"/>
  <c r="I27" i="6"/>
  <c r="I303" i="24" s="1"/>
  <c r="H27" i="6"/>
  <c r="H303" i="24" s="1"/>
  <c r="G27" i="6"/>
  <c r="G303" i="24" s="1"/>
  <c r="F27" i="6"/>
  <c r="F303" i="24" s="1"/>
  <c r="E27" i="6"/>
  <c r="E303" i="24" s="1"/>
  <c r="D27" i="6"/>
  <c r="Q302" i="24"/>
  <c r="P26" i="6"/>
  <c r="P302" i="24" s="1"/>
  <c r="O26" i="6"/>
  <c r="O302" i="24" s="1"/>
  <c r="N26" i="6"/>
  <c r="N302" i="24" s="1"/>
  <c r="M26" i="6"/>
  <c r="M302" i="24" s="1"/>
  <c r="L26" i="6"/>
  <c r="L302" i="24" s="1"/>
  <c r="K26" i="6"/>
  <c r="K302" i="24" s="1"/>
  <c r="J26" i="6"/>
  <c r="J302" i="24" s="1"/>
  <c r="I26" i="6"/>
  <c r="I302" i="24" s="1"/>
  <c r="H26" i="6"/>
  <c r="H302" i="24" s="1"/>
  <c r="G26" i="6"/>
  <c r="G302" i="24" s="1"/>
  <c r="F26" i="6"/>
  <c r="F302" i="24" s="1"/>
  <c r="E26" i="6"/>
  <c r="E302" i="24" s="1"/>
  <c r="D26" i="6"/>
  <c r="P23" i="6"/>
  <c r="P299" i="24" s="1"/>
  <c r="O23" i="6"/>
  <c r="O299" i="24" s="1"/>
  <c r="N23" i="6"/>
  <c r="N299" i="24" s="1"/>
  <c r="M23" i="6"/>
  <c r="M299" i="24" s="1"/>
  <c r="L23" i="6"/>
  <c r="L299" i="24" s="1"/>
  <c r="K23" i="6"/>
  <c r="K299" i="24" s="1"/>
  <c r="J23" i="6"/>
  <c r="J299" i="24" s="1"/>
  <c r="I23" i="6"/>
  <c r="I299" i="24" s="1"/>
  <c r="H23" i="6"/>
  <c r="H299" i="24" s="1"/>
  <c r="G23" i="6"/>
  <c r="G299" i="24" s="1"/>
  <c r="F23" i="6"/>
  <c r="F299" i="24" s="1"/>
  <c r="E23" i="6"/>
  <c r="E299" i="24" s="1"/>
  <c r="D23" i="6"/>
  <c r="Q298" i="24"/>
  <c r="P22" i="6"/>
  <c r="P298" i="24" s="1"/>
  <c r="O22" i="6"/>
  <c r="O298" i="24" s="1"/>
  <c r="N22" i="6"/>
  <c r="N298" i="24" s="1"/>
  <c r="M22" i="6"/>
  <c r="M298" i="24" s="1"/>
  <c r="L22" i="6"/>
  <c r="L298" i="24" s="1"/>
  <c r="K22" i="6"/>
  <c r="K298" i="24" s="1"/>
  <c r="J22" i="6"/>
  <c r="J298" i="24" s="1"/>
  <c r="I22" i="6"/>
  <c r="H22" i="6"/>
  <c r="H298" i="24" s="1"/>
  <c r="G22" i="6"/>
  <c r="G298" i="24" s="1"/>
  <c r="F22" i="6"/>
  <c r="F298" i="24" s="1"/>
  <c r="E22" i="6"/>
  <c r="E298" i="24" s="1"/>
  <c r="D22" i="6"/>
  <c r="D298" i="24" s="1"/>
  <c r="Q297" i="24"/>
  <c r="P21" i="6"/>
  <c r="P297" i="24" s="1"/>
  <c r="O21" i="6"/>
  <c r="O297" i="24" s="1"/>
  <c r="N21" i="6"/>
  <c r="N297" i="24" s="1"/>
  <c r="M21" i="6"/>
  <c r="M297" i="24" s="1"/>
  <c r="L21" i="6"/>
  <c r="L297" i="24" s="1"/>
  <c r="K21" i="6"/>
  <c r="K297" i="24" s="1"/>
  <c r="J21" i="6"/>
  <c r="J297" i="24" s="1"/>
  <c r="I21" i="6"/>
  <c r="H21" i="6"/>
  <c r="H297" i="24" s="1"/>
  <c r="G21" i="6"/>
  <c r="G297" i="24" s="1"/>
  <c r="F21" i="6"/>
  <c r="F297" i="24" s="1"/>
  <c r="E21" i="6"/>
  <c r="E297" i="24" s="1"/>
  <c r="D21" i="6"/>
  <c r="D297" i="24" s="1"/>
  <c r="P18" i="6"/>
  <c r="P294" i="24" s="1"/>
  <c r="O18" i="6"/>
  <c r="O294" i="24" s="1"/>
  <c r="N18" i="6"/>
  <c r="N294" i="24" s="1"/>
  <c r="M18" i="6"/>
  <c r="M294" i="24" s="1"/>
  <c r="L18" i="6"/>
  <c r="L294" i="24" s="1"/>
  <c r="K18" i="6"/>
  <c r="K294" i="24" s="1"/>
  <c r="J18" i="6"/>
  <c r="J294" i="24" s="1"/>
  <c r="I18" i="6"/>
  <c r="I294" i="24" s="1"/>
  <c r="H18" i="6"/>
  <c r="H294" i="24" s="1"/>
  <c r="G18" i="6"/>
  <c r="G294" i="24" s="1"/>
  <c r="F18" i="6"/>
  <c r="F294" i="24" s="1"/>
  <c r="E18" i="6"/>
  <c r="E294" i="24" s="1"/>
  <c r="D18" i="6"/>
  <c r="Q293" i="24"/>
  <c r="P17" i="6"/>
  <c r="P293" i="24" s="1"/>
  <c r="O17" i="6"/>
  <c r="O293" i="24" s="1"/>
  <c r="N17" i="6"/>
  <c r="N293" i="24" s="1"/>
  <c r="M17" i="6"/>
  <c r="M293" i="24" s="1"/>
  <c r="L17" i="6"/>
  <c r="L293" i="24" s="1"/>
  <c r="K17" i="6"/>
  <c r="K293" i="24" s="1"/>
  <c r="J17" i="6"/>
  <c r="J293" i="24" s="1"/>
  <c r="I17" i="6"/>
  <c r="H17" i="6"/>
  <c r="H293" i="24" s="1"/>
  <c r="G17" i="6"/>
  <c r="G293" i="24" s="1"/>
  <c r="F17" i="6"/>
  <c r="F293" i="24" s="1"/>
  <c r="E17" i="6"/>
  <c r="E293" i="24" s="1"/>
  <c r="D17" i="6"/>
  <c r="D293" i="24" s="1"/>
  <c r="Q292" i="24"/>
  <c r="P16" i="6"/>
  <c r="P292" i="24" s="1"/>
  <c r="O16" i="6"/>
  <c r="O292" i="24" s="1"/>
  <c r="N16" i="6"/>
  <c r="N292" i="24" s="1"/>
  <c r="M16" i="6"/>
  <c r="M292" i="24" s="1"/>
  <c r="L16" i="6"/>
  <c r="L292" i="24" s="1"/>
  <c r="K16" i="6"/>
  <c r="K292" i="24" s="1"/>
  <c r="J16" i="6"/>
  <c r="J292" i="24" s="1"/>
  <c r="I16" i="6"/>
  <c r="H16" i="6"/>
  <c r="H292" i="24" s="1"/>
  <c r="G16" i="6"/>
  <c r="G292" i="24" s="1"/>
  <c r="F16" i="6"/>
  <c r="F292" i="24" s="1"/>
  <c r="E16" i="6"/>
  <c r="E292" i="24" s="1"/>
  <c r="D16" i="6"/>
  <c r="D292" i="24" s="1"/>
  <c r="P13" i="6"/>
  <c r="P289" i="24" s="1"/>
  <c r="O13" i="6"/>
  <c r="O289" i="24" s="1"/>
  <c r="N13" i="6"/>
  <c r="N289" i="24" s="1"/>
  <c r="M13" i="6"/>
  <c r="M289" i="24" s="1"/>
  <c r="L13" i="6"/>
  <c r="L289" i="24" s="1"/>
  <c r="K13" i="6"/>
  <c r="K289" i="24" s="1"/>
  <c r="J13" i="6"/>
  <c r="J289" i="24" s="1"/>
  <c r="I13" i="6"/>
  <c r="H13" i="6"/>
  <c r="H289" i="24" s="1"/>
  <c r="G13" i="6"/>
  <c r="G289" i="24" s="1"/>
  <c r="F13" i="6"/>
  <c r="F289" i="24" s="1"/>
  <c r="E13" i="6"/>
  <c r="E289" i="24" s="1"/>
  <c r="D13" i="6"/>
  <c r="D289" i="24" s="1"/>
  <c r="Q288" i="24"/>
  <c r="P12" i="6"/>
  <c r="P288" i="24" s="1"/>
  <c r="O12" i="6"/>
  <c r="O288" i="24" s="1"/>
  <c r="N12" i="6"/>
  <c r="N288" i="24" s="1"/>
  <c r="M12" i="6"/>
  <c r="M288" i="24" s="1"/>
  <c r="L12" i="6"/>
  <c r="L288" i="24" s="1"/>
  <c r="K12" i="6"/>
  <c r="K288" i="24" s="1"/>
  <c r="J12" i="6"/>
  <c r="J288" i="24" s="1"/>
  <c r="I12" i="6"/>
  <c r="I288" i="24" s="1"/>
  <c r="H12" i="6"/>
  <c r="H288" i="24" s="1"/>
  <c r="G12" i="6"/>
  <c r="G288" i="24" s="1"/>
  <c r="F12" i="6"/>
  <c r="F288" i="24" s="1"/>
  <c r="E12" i="6"/>
  <c r="E288" i="24" s="1"/>
  <c r="D12" i="6"/>
  <c r="Q287" i="24"/>
  <c r="P11" i="6"/>
  <c r="P287" i="24" s="1"/>
  <c r="O11" i="6"/>
  <c r="O287" i="24" s="1"/>
  <c r="N11" i="6"/>
  <c r="N287" i="24" s="1"/>
  <c r="M11" i="6"/>
  <c r="M287" i="24" s="1"/>
  <c r="L11" i="6"/>
  <c r="L287" i="24" s="1"/>
  <c r="K11" i="6"/>
  <c r="K287" i="24" s="1"/>
  <c r="J11" i="6"/>
  <c r="J287" i="24" s="1"/>
  <c r="I11" i="6"/>
  <c r="I287" i="24" s="1"/>
  <c r="H11" i="6"/>
  <c r="H287" i="24" s="1"/>
  <c r="G11" i="6"/>
  <c r="G287" i="24" s="1"/>
  <c r="F11" i="6"/>
  <c r="F287" i="24" s="1"/>
  <c r="E11" i="6"/>
  <c r="E287" i="24" s="1"/>
  <c r="D11" i="6"/>
  <c r="Q408" i="24"/>
  <c r="Q65" i="13"/>
  <c r="Q319" i="24"/>
  <c r="Q299" i="24"/>
  <c r="P8" i="6"/>
  <c r="O8" i="6"/>
  <c r="N8" i="6"/>
  <c r="M8" i="6"/>
  <c r="L8" i="6"/>
  <c r="L284" i="24" s="1"/>
  <c r="K8" i="6"/>
  <c r="K284" i="24" s="1"/>
  <c r="J8" i="6"/>
  <c r="J284" i="24" s="1"/>
  <c r="I8" i="6"/>
  <c r="H8" i="6"/>
  <c r="G8" i="6"/>
  <c r="F8" i="6"/>
  <c r="E8" i="6"/>
  <c r="D8" i="6"/>
  <c r="Q36" i="16"/>
  <c r="Q38" i="16" s="1"/>
  <c r="P36" i="16"/>
  <c r="P38" i="16" s="1"/>
  <c r="O36" i="16"/>
  <c r="O38" i="16" s="1"/>
  <c r="N36" i="16"/>
  <c r="N38" i="16" s="1"/>
  <c r="M36" i="16"/>
  <c r="M38" i="16" s="1"/>
  <c r="L36" i="16"/>
  <c r="L38" i="16" s="1"/>
  <c r="H36" i="16"/>
  <c r="H38" i="16" s="1"/>
  <c r="G36" i="16"/>
  <c r="G38" i="16" s="1"/>
  <c r="F36" i="16"/>
  <c r="F38" i="16" s="1"/>
  <c r="E36" i="16"/>
  <c r="E38" i="16" s="1"/>
  <c r="Q27" i="16"/>
  <c r="P27" i="16"/>
  <c r="H27" i="16"/>
  <c r="G27" i="16"/>
  <c r="F27" i="16"/>
  <c r="E27" i="16"/>
  <c r="Q14" i="16"/>
  <c r="Q17" i="16" s="1"/>
  <c r="P14" i="16"/>
  <c r="P17" i="16" s="1"/>
  <c r="O14" i="16"/>
  <c r="O17" i="16" s="1"/>
  <c r="N14" i="16"/>
  <c r="N17" i="16" s="1"/>
  <c r="M14" i="16"/>
  <c r="M17" i="16" s="1"/>
  <c r="L14" i="16"/>
  <c r="L17" i="16" s="1"/>
  <c r="H14" i="16"/>
  <c r="H17" i="16" s="1"/>
  <c r="G14" i="16"/>
  <c r="G17" i="16" s="1"/>
  <c r="F14" i="16"/>
  <c r="F17" i="16" s="1"/>
  <c r="E14" i="16"/>
  <c r="E17" i="16" s="1"/>
  <c r="D14" i="16"/>
  <c r="D17" i="16" s="1"/>
  <c r="D103" i="1"/>
  <c r="D102" i="1"/>
  <c r="D101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Q96" i="1"/>
  <c r="P96" i="1"/>
  <c r="O96" i="1"/>
  <c r="N96" i="1"/>
  <c r="L96" i="1"/>
  <c r="K96" i="1"/>
  <c r="J96" i="1"/>
  <c r="I96" i="1"/>
  <c r="H96" i="1"/>
  <c r="G96" i="1"/>
  <c r="F96" i="1"/>
  <c r="E96" i="1"/>
  <c r="D96" i="1"/>
  <c r="Q43" i="1"/>
  <c r="Q247" i="24" s="1"/>
  <c r="P43" i="1"/>
  <c r="P247" i="24" s="1"/>
  <c r="O43" i="1"/>
  <c r="O247" i="24" s="1"/>
  <c r="N43" i="1"/>
  <c r="N247" i="24" s="1"/>
  <c r="M43" i="1"/>
  <c r="M247" i="24" s="1"/>
  <c r="L43" i="1"/>
  <c r="L247" i="24" s="1"/>
  <c r="K43" i="1"/>
  <c r="K247" i="24" s="1"/>
  <c r="J43" i="1"/>
  <c r="J247" i="24" s="1"/>
  <c r="I43" i="1"/>
  <c r="I247" i="24" s="1"/>
  <c r="H43" i="1"/>
  <c r="H247" i="24" s="1"/>
  <c r="G43" i="1"/>
  <c r="G247" i="24" s="1"/>
  <c r="F43" i="1"/>
  <c r="F247" i="24" s="1"/>
  <c r="E43" i="1"/>
  <c r="E247" i="24" s="1"/>
  <c r="D43" i="1"/>
  <c r="Q42" i="1"/>
  <c r="Q246" i="24" s="1"/>
  <c r="P42" i="1"/>
  <c r="P246" i="24" s="1"/>
  <c r="O42" i="1"/>
  <c r="O246" i="24" s="1"/>
  <c r="N42" i="1"/>
  <c r="N246" i="24" s="1"/>
  <c r="M42" i="1"/>
  <c r="M246" i="24" s="1"/>
  <c r="L42" i="1"/>
  <c r="L246" i="24" s="1"/>
  <c r="K42" i="1"/>
  <c r="K246" i="24" s="1"/>
  <c r="J42" i="1"/>
  <c r="J246" i="24" s="1"/>
  <c r="I42" i="1"/>
  <c r="I246" i="24" s="1"/>
  <c r="H42" i="1"/>
  <c r="H246" i="24" s="1"/>
  <c r="G42" i="1"/>
  <c r="G246" i="24" s="1"/>
  <c r="F42" i="1"/>
  <c r="F246" i="24" s="1"/>
  <c r="E42" i="1"/>
  <c r="E246" i="24" s="1"/>
  <c r="D42" i="1"/>
  <c r="Q41" i="1"/>
  <c r="Q245" i="24" s="1"/>
  <c r="P41" i="1"/>
  <c r="P245" i="24" s="1"/>
  <c r="O41" i="1"/>
  <c r="O245" i="24" s="1"/>
  <c r="N41" i="1"/>
  <c r="N245" i="24" s="1"/>
  <c r="M41" i="1"/>
  <c r="M245" i="24" s="1"/>
  <c r="L41" i="1"/>
  <c r="L245" i="24" s="1"/>
  <c r="K41" i="1"/>
  <c r="K245" i="24" s="1"/>
  <c r="J41" i="1"/>
  <c r="J245" i="24" s="1"/>
  <c r="I41" i="1"/>
  <c r="I245" i="24" s="1"/>
  <c r="H41" i="1"/>
  <c r="H245" i="24" s="1"/>
  <c r="G41" i="1"/>
  <c r="G245" i="24" s="1"/>
  <c r="F41" i="1"/>
  <c r="F245" i="24" s="1"/>
  <c r="E41" i="1"/>
  <c r="E245" i="24" s="1"/>
  <c r="D41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L63" i="1"/>
  <c r="L262" i="24" s="1"/>
  <c r="H63" i="1"/>
  <c r="H262" i="24" s="1"/>
  <c r="J182" i="24" s="1"/>
  <c r="G63" i="1"/>
  <c r="G262" i="24" s="1"/>
  <c r="E182" i="24" s="1"/>
  <c r="F63" i="1"/>
  <c r="F262" i="24" s="1"/>
  <c r="E63" i="1"/>
  <c r="E262" i="24" s="1"/>
  <c r="D63" i="1"/>
  <c r="D262" i="24" s="1"/>
  <c r="L62" i="1"/>
  <c r="L261" i="24" s="1"/>
  <c r="H62" i="1"/>
  <c r="H261" i="24" s="1"/>
  <c r="J181" i="24" s="1"/>
  <c r="G62" i="1"/>
  <c r="G261" i="24" s="1"/>
  <c r="E181" i="24" s="1"/>
  <c r="F62" i="1"/>
  <c r="F261" i="24" s="1"/>
  <c r="E62" i="1"/>
  <c r="E261" i="24" s="1"/>
  <c r="D62" i="1"/>
  <c r="D261" i="24" s="1"/>
  <c r="L61" i="1"/>
  <c r="L260" i="24" s="1"/>
  <c r="H61" i="1"/>
  <c r="H260" i="24" s="1"/>
  <c r="J180" i="24" s="1"/>
  <c r="G61" i="1"/>
  <c r="G260" i="24" s="1"/>
  <c r="E180" i="24" s="1"/>
  <c r="F61" i="1"/>
  <c r="F260" i="24" s="1"/>
  <c r="E61" i="1"/>
  <c r="E260" i="24" s="1"/>
  <c r="D61" i="1"/>
  <c r="D260" i="24" s="1"/>
  <c r="Q38" i="1"/>
  <c r="Q237" i="24" s="1"/>
  <c r="P38" i="1"/>
  <c r="P237" i="24" s="1"/>
  <c r="O38" i="1"/>
  <c r="O237" i="24" s="1"/>
  <c r="N38" i="1"/>
  <c r="N237" i="24" s="1"/>
  <c r="M38" i="1"/>
  <c r="M237" i="24" s="1"/>
  <c r="O167" i="24" s="1"/>
  <c r="P167" i="24" s="1"/>
  <c r="L38" i="1"/>
  <c r="L237" i="24" s="1"/>
  <c r="K38" i="1"/>
  <c r="K237" i="24" s="1"/>
  <c r="J38" i="1"/>
  <c r="J237" i="24" s="1"/>
  <c r="I38" i="1"/>
  <c r="I237" i="24" s="1"/>
  <c r="H38" i="1"/>
  <c r="H237" i="24" s="1"/>
  <c r="J167" i="24" s="1"/>
  <c r="K167" i="24" s="1"/>
  <c r="G38" i="1"/>
  <c r="G237" i="24" s="1"/>
  <c r="E167" i="24" s="1"/>
  <c r="F167" i="24" s="1"/>
  <c r="F38" i="1"/>
  <c r="F237" i="24" s="1"/>
  <c r="E38" i="1"/>
  <c r="E237" i="24" s="1"/>
  <c r="D38" i="1"/>
  <c r="Q37" i="1"/>
  <c r="Q236" i="24" s="1"/>
  <c r="P37" i="1"/>
  <c r="P236" i="24" s="1"/>
  <c r="O37" i="1"/>
  <c r="O236" i="24" s="1"/>
  <c r="N37" i="1"/>
  <c r="N236" i="24" s="1"/>
  <c r="M37" i="1"/>
  <c r="M236" i="24" s="1"/>
  <c r="O166" i="24" s="1"/>
  <c r="P166" i="24" s="1"/>
  <c r="L37" i="1"/>
  <c r="L236" i="24" s="1"/>
  <c r="K37" i="1"/>
  <c r="K236" i="24" s="1"/>
  <c r="J37" i="1"/>
  <c r="J236" i="24" s="1"/>
  <c r="I37" i="1"/>
  <c r="I236" i="24" s="1"/>
  <c r="H37" i="1"/>
  <c r="H236" i="24" s="1"/>
  <c r="J166" i="24" s="1"/>
  <c r="K166" i="24" s="1"/>
  <c r="G37" i="1"/>
  <c r="G236" i="24" s="1"/>
  <c r="E166" i="24" s="1"/>
  <c r="F166" i="24" s="1"/>
  <c r="F37" i="1"/>
  <c r="F236" i="24" s="1"/>
  <c r="E37" i="1"/>
  <c r="E236" i="24" s="1"/>
  <c r="D37" i="1"/>
  <c r="Q36" i="1"/>
  <c r="Q235" i="24" s="1"/>
  <c r="P36" i="1"/>
  <c r="P235" i="24" s="1"/>
  <c r="O36" i="1"/>
  <c r="O235" i="24" s="1"/>
  <c r="N36" i="1"/>
  <c r="N235" i="24" s="1"/>
  <c r="M36" i="1"/>
  <c r="M235" i="24" s="1"/>
  <c r="O165" i="24" s="1"/>
  <c r="P165" i="24" s="1"/>
  <c r="L36" i="1"/>
  <c r="L235" i="24" s="1"/>
  <c r="K36" i="1"/>
  <c r="K235" i="24" s="1"/>
  <c r="J36" i="1"/>
  <c r="J235" i="24" s="1"/>
  <c r="I36" i="1"/>
  <c r="I235" i="24" s="1"/>
  <c r="H36" i="1"/>
  <c r="H235" i="24" s="1"/>
  <c r="J165" i="24" s="1"/>
  <c r="K165" i="24" s="1"/>
  <c r="G36" i="1"/>
  <c r="G235" i="24" s="1"/>
  <c r="E165" i="24" s="1"/>
  <c r="F165" i="24" s="1"/>
  <c r="F36" i="1"/>
  <c r="F235" i="24" s="1"/>
  <c r="E36" i="1"/>
  <c r="E235" i="24" s="1"/>
  <c r="D36" i="1"/>
  <c r="Q53" i="1"/>
  <c r="Q257" i="24" s="1"/>
  <c r="P53" i="1"/>
  <c r="P257" i="24" s="1"/>
  <c r="O53" i="1"/>
  <c r="O257" i="24" s="1"/>
  <c r="N53" i="1"/>
  <c r="N257" i="24" s="1"/>
  <c r="M53" i="1"/>
  <c r="M257" i="24" s="1"/>
  <c r="O177" i="24" s="1"/>
  <c r="P177" i="24" s="1"/>
  <c r="L53" i="1"/>
  <c r="L257" i="24" s="1"/>
  <c r="K53" i="1"/>
  <c r="K257" i="24" s="1"/>
  <c r="J53" i="1"/>
  <c r="J257" i="24" s="1"/>
  <c r="I53" i="1"/>
  <c r="I257" i="24" s="1"/>
  <c r="H53" i="1"/>
  <c r="H257" i="24" s="1"/>
  <c r="J177" i="24" s="1"/>
  <c r="K177" i="24" s="1"/>
  <c r="G53" i="1"/>
  <c r="G257" i="24" s="1"/>
  <c r="E177" i="24" s="1"/>
  <c r="F177" i="24" s="1"/>
  <c r="F53" i="1"/>
  <c r="F257" i="24" s="1"/>
  <c r="E53" i="1"/>
  <c r="E257" i="24" s="1"/>
  <c r="D53" i="1"/>
  <c r="Q52" i="1"/>
  <c r="Q256" i="24" s="1"/>
  <c r="P52" i="1"/>
  <c r="P256" i="24" s="1"/>
  <c r="O52" i="1"/>
  <c r="O256" i="24" s="1"/>
  <c r="N52" i="1"/>
  <c r="N256" i="24" s="1"/>
  <c r="M52" i="1"/>
  <c r="M256" i="24" s="1"/>
  <c r="O176" i="24" s="1"/>
  <c r="P176" i="24" s="1"/>
  <c r="L52" i="1"/>
  <c r="L256" i="24" s="1"/>
  <c r="K52" i="1"/>
  <c r="K256" i="24" s="1"/>
  <c r="J52" i="1"/>
  <c r="J256" i="24" s="1"/>
  <c r="I52" i="1"/>
  <c r="I256" i="24" s="1"/>
  <c r="H52" i="1"/>
  <c r="H256" i="24" s="1"/>
  <c r="J176" i="24" s="1"/>
  <c r="K176" i="24" s="1"/>
  <c r="G52" i="1"/>
  <c r="G256" i="24" s="1"/>
  <c r="E176" i="24" s="1"/>
  <c r="F176" i="24" s="1"/>
  <c r="F52" i="1"/>
  <c r="F256" i="24" s="1"/>
  <c r="E52" i="1"/>
  <c r="E256" i="24" s="1"/>
  <c r="D52" i="1"/>
  <c r="Q51" i="1"/>
  <c r="Q255" i="24" s="1"/>
  <c r="P51" i="1"/>
  <c r="P255" i="24" s="1"/>
  <c r="O51" i="1"/>
  <c r="O255" i="24" s="1"/>
  <c r="N51" i="1"/>
  <c r="N255" i="24" s="1"/>
  <c r="M51" i="1"/>
  <c r="M255" i="24" s="1"/>
  <c r="O175" i="24" s="1"/>
  <c r="L51" i="1"/>
  <c r="L255" i="24" s="1"/>
  <c r="K51" i="1"/>
  <c r="K255" i="24" s="1"/>
  <c r="J51" i="1"/>
  <c r="J255" i="24" s="1"/>
  <c r="I51" i="1"/>
  <c r="I255" i="24" s="1"/>
  <c r="H51" i="1"/>
  <c r="H255" i="24" s="1"/>
  <c r="J175" i="24" s="1"/>
  <c r="G51" i="1"/>
  <c r="G255" i="24" s="1"/>
  <c r="E175" i="24" s="1"/>
  <c r="F51" i="1"/>
  <c r="F255" i="24" s="1"/>
  <c r="E51" i="1"/>
  <c r="E255" i="24" s="1"/>
  <c r="D51" i="1"/>
  <c r="Q28" i="1"/>
  <c r="Q232" i="24" s="1"/>
  <c r="P28" i="1"/>
  <c r="P232" i="24" s="1"/>
  <c r="O28" i="1"/>
  <c r="O232" i="24" s="1"/>
  <c r="N28" i="1"/>
  <c r="N232" i="24" s="1"/>
  <c r="M28" i="1"/>
  <c r="M232" i="24" s="1"/>
  <c r="O162" i="24" s="1"/>
  <c r="P162" i="24" s="1"/>
  <c r="L28" i="1"/>
  <c r="L232" i="24" s="1"/>
  <c r="K28" i="1"/>
  <c r="K232" i="24" s="1"/>
  <c r="J28" i="1"/>
  <c r="J232" i="24" s="1"/>
  <c r="I28" i="1"/>
  <c r="I232" i="24" s="1"/>
  <c r="H28" i="1"/>
  <c r="H232" i="24" s="1"/>
  <c r="J162" i="24" s="1"/>
  <c r="K162" i="24" s="1"/>
  <c r="G28" i="1"/>
  <c r="G232" i="24" s="1"/>
  <c r="E162" i="24" s="1"/>
  <c r="F162" i="24" s="1"/>
  <c r="F28" i="1"/>
  <c r="F232" i="24" s="1"/>
  <c r="E28" i="1"/>
  <c r="E232" i="24" s="1"/>
  <c r="D28" i="1"/>
  <c r="Q27" i="1"/>
  <c r="Q231" i="24" s="1"/>
  <c r="P27" i="1"/>
  <c r="P231" i="24" s="1"/>
  <c r="O27" i="1"/>
  <c r="O231" i="24" s="1"/>
  <c r="N27" i="1"/>
  <c r="N231" i="24" s="1"/>
  <c r="M27" i="1"/>
  <c r="M231" i="24" s="1"/>
  <c r="O161" i="24" s="1"/>
  <c r="P161" i="24" s="1"/>
  <c r="L27" i="1"/>
  <c r="L231" i="24" s="1"/>
  <c r="K27" i="1"/>
  <c r="K231" i="24" s="1"/>
  <c r="J27" i="1"/>
  <c r="J231" i="24" s="1"/>
  <c r="I27" i="1"/>
  <c r="I231" i="24" s="1"/>
  <c r="H27" i="1"/>
  <c r="H231" i="24" s="1"/>
  <c r="J161" i="24" s="1"/>
  <c r="K161" i="24" s="1"/>
  <c r="G27" i="1"/>
  <c r="G231" i="24" s="1"/>
  <c r="E161" i="24" s="1"/>
  <c r="F161" i="24" s="1"/>
  <c r="F27" i="1"/>
  <c r="F231" i="24" s="1"/>
  <c r="E27" i="1"/>
  <c r="E231" i="24" s="1"/>
  <c r="D27" i="1"/>
  <c r="Q26" i="1"/>
  <c r="Q230" i="24" s="1"/>
  <c r="P26" i="1"/>
  <c r="P230" i="24" s="1"/>
  <c r="O26" i="1"/>
  <c r="O230" i="24" s="1"/>
  <c r="N26" i="1"/>
  <c r="N230" i="24" s="1"/>
  <c r="M26" i="1"/>
  <c r="M230" i="24" s="1"/>
  <c r="O160" i="24" s="1"/>
  <c r="L26" i="1"/>
  <c r="L230" i="24" s="1"/>
  <c r="K26" i="1"/>
  <c r="K230" i="24" s="1"/>
  <c r="J26" i="1"/>
  <c r="J230" i="24" s="1"/>
  <c r="I26" i="1"/>
  <c r="I230" i="24" s="1"/>
  <c r="H26" i="1"/>
  <c r="H230" i="24" s="1"/>
  <c r="J160" i="24" s="1"/>
  <c r="K160" i="24" s="1"/>
  <c r="G26" i="1"/>
  <c r="G230" i="24" s="1"/>
  <c r="E160" i="24" s="1"/>
  <c r="F160" i="24" s="1"/>
  <c r="F26" i="1"/>
  <c r="F230" i="24" s="1"/>
  <c r="E26" i="1"/>
  <c r="E230" i="24" s="1"/>
  <c r="D26" i="1"/>
  <c r="Q13" i="1"/>
  <c r="Q217" i="24" s="1"/>
  <c r="P13" i="1"/>
  <c r="P217" i="24" s="1"/>
  <c r="O13" i="1"/>
  <c r="O217" i="24" s="1"/>
  <c r="N13" i="1"/>
  <c r="N217" i="24" s="1"/>
  <c r="M13" i="1"/>
  <c r="M217" i="24" s="1"/>
  <c r="L13" i="1"/>
  <c r="L217" i="24" s="1"/>
  <c r="K13" i="1"/>
  <c r="K217" i="24" s="1"/>
  <c r="J13" i="1"/>
  <c r="J217" i="24" s="1"/>
  <c r="I13" i="1"/>
  <c r="I217" i="24" s="1"/>
  <c r="H13" i="1"/>
  <c r="H217" i="24" s="1"/>
  <c r="G13" i="1"/>
  <c r="G217" i="24" s="1"/>
  <c r="F13" i="1"/>
  <c r="F217" i="24" s="1"/>
  <c r="E13" i="1"/>
  <c r="E217" i="24" s="1"/>
  <c r="D13" i="1"/>
  <c r="Q12" i="1"/>
  <c r="Q216" i="24" s="1"/>
  <c r="P12" i="1"/>
  <c r="P216" i="24" s="1"/>
  <c r="O12" i="1"/>
  <c r="O216" i="24" s="1"/>
  <c r="N12" i="1"/>
  <c r="N216" i="24" s="1"/>
  <c r="M12" i="1"/>
  <c r="M216" i="24" s="1"/>
  <c r="L12" i="1"/>
  <c r="L216" i="24" s="1"/>
  <c r="K12" i="1"/>
  <c r="K216" i="24" s="1"/>
  <c r="J12" i="1"/>
  <c r="J216" i="24" s="1"/>
  <c r="I12" i="1"/>
  <c r="I216" i="24" s="1"/>
  <c r="H12" i="1"/>
  <c r="H216" i="24" s="1"/>
  <c r="G12" i="1"/>
  <c r="G216" i="24" s="1"/>
  <c r="F12" i="1"/>
  <c r="F216" i="24" s="1"/>
  <c r="E12" i="1"/>
  <c r="E216" i="24" s="1"/>
  <c r="D12" i="1"/>
  <c r="Q11" i="1"/>
  <c r="Q215" i="24" s="1"/>
  <c r="P11" i="1"/>
  <c r="P215" i="24" s="1"/>
  <c r="O11" i="1"/>
  <c r="O215" i="24" s="1"/>
  <c r="N11" i="1"/>
  <c r="N215" i="24" s="1"/>
  <c r="M11" i="1"/>
  <c r="M215" i="24" s="1"/>
  <c r="L11" i="1"/>
  <c r="L215" i="24" s="1"/>
  <c r="K11" i="1"/>
  <c r="K215" i="24" s="1"/>
  <c r="J11" i="1"/>
  <c r="J215" i="24" s="1"/>
  <c r="I11" i="1"/>
  <c r="I215" i="24" s="1"/>
  <c r="H11" i="1"/>
  <c r="H215" i="24" s="1"/>
  <c r="G11" i="1"/>
  <c r="G215" i="24" s="1"/>
  <c r="F11" i="1"/>
  <c r="F215" i="24" s="1"/>
  <c r="E11" i="1"/>
  <c r="E215" i="24" s="1"/>
  <c r="D11" i="1"/>
  <c r="Q8" i="1"/>
  <c r="P8" i="1"/>
  <c r="P212" i="24" s="1"/>
  <c r="O8" i="1"/>
  <c r="O212" i="24" s="1"/>
  <c r="N8" i="1"/>
  <c r="N212" i="24" s="1"/>
  <c r="M8" i="1"/>
  <c r="L8" i="1"/>
  <c r="L212" i="24" s="1"/>
  <c r="K8" i="1"/>
  <c r="K212" i="24" s="1"/>
  <c r="J8" i="1"/>
  <c r="J212" i="24" s="1"/>
  <c r="I8" i="1"/>
  <c r="H8" i="1"/>
  <c r="H212" i="24" s="1"/>
  <c r="G8" i="1"/>
  <c r="G212" i="24" s="1"/>
  <c r="F8" i="1"/>
  <c r="F212" i="24" s="1"/>
  <c r="E8" i="1"/>
  <c r="D8" i="1"/>
  <c r="Q7" i="15"/>
  <c r="P7" i="15"/>
  <c r="P10" i="15" s="1"/>
  <c r="P13" i="15" s="1"/>
  <c r="P15" i="15" s="1"/>
  <c r="O7" i="15"/>
  <c r="O10" i="15" s="1"/>
  <c r="O13" i="15" s="1"/>
  <c r="O15" i="15" s="1"/>
  <c r="N7" i="15"/>
  <c r="M7" i="15"/>
  <c r="M10" i="15" s="1"/>
  <c r="M13" i="15" s="1"/>
  <c r="M15" i="15" s="1"/>
  <c r="K7" i="15"/>
  <c r="K10" i="15" s="1"/>
  <c r="K13" i="15" s="1"/>
  <c r="K15" i="15" s="1"/>
  <c r="J7" i="15"/>
  <c r="I7" i="15"/>
  <c r="G7" i="15"/>
  <c r="F7" i="15"/>
  <c r="E7" i="15"/>
  <c r="E10" i="15" s="1"/>
  <c r="E13" i="15" s="1"/>
  <c r="E15" i="15" s="1"/>
  <c r="D7" i="15"/>
  <c r="Q63" i="13"/>
  <c r="O6" i="14"/>
  <c r="O11" i="13" s="1"/>
  <c r="P6" i="14"/>
  <c r="P11" i="13" s="1"/>
  <c r="Q6" i="14"/>
  <c r="Q11" i="13" s="1"/>
  <c r="O7" i="14"/>
  <c r="O16" i="13" s="1"/>
  <c r="P7" i="14"/>
  <c r="P16" i="13" s="1"/>
  <c r="Q7" i="14"/>
  <c r="Q16" i="13" s="1"/>
  <c r="O9" i="14"/>
  <c r="O26" i="13" s="1"/>
  <c r="P9" i="14"/>
  <c r="P26" i="13" s="1"/>
  <c r="Q9" i="14"/>
  <c r="Q26" i="13" s="1"/>
  <c r="Q25" i="13" s="1"/>
  <c r="O12" i="14"/>
  <c r="P12" i="14"/>
  <c r="Q12" i="14"/>
  <c r="Q37" i="13" s="1"/>
  <c r="O13" i="14"/>
  <c r="O42" i="13" s="1"/>
  <c r="P13" i="14"/>
  <c r="P42" i="13" s="1"/>
  <c r="Q13" i="14"/>
  <c r="Q42" i="13" s="1"/>
  <c r="Q41" i="13" s="1"/>
  <c r="O14" i="14"/>
  <c r="O47" i="13" s="1"/>
  <c r="P14" i="14"/>
  <c r="P47" i="13" s="1"/>
  <c r="Q14" i="14"/>
  <c r="Q47" i="13" s="1"/>
  <c r="Q46" i="13" s="1"/>
  <c r="O17" i="14"/>
  <c r="O58" i="13" s="1"/>
  <c r="P17" i="14"/>
  <c r="P58" i="13" s="1"/>
  <c r="Q17" i="14"/>
  <c r="Q58" i="13" s="1"/>
  <c r="O18" i="14"/>
  <c r="O63" i="13" s="1"/>
  <c r="P18" i="14"/>
  <c r="P63" i="13" s="1"/>
  <c r="Q18" i="14"/>
  <c r="I6" i="14"/>
  <c r="I11" i="13" s="1"/>
  <c r="J6" i="14"/>
  <c r="J11" i="13" s="1"/>
  <c r="K6" i="14"/>
  <c r="K11" i="13" s="1"/>
  <c r="L6" i="14"/>
  <c r="L11" i="13" s="1"/>
  <c r="M6" i="14"/>
  <c r="M11" i="13" s="1"/>
  <c r="N6" i="14"/>
  <c r="N11" i="13" s="1"/>
  <c r="I7" i="14"/>
  <c r="I16" i="13" s="1"/>
  <c r="J7" i="14"/>
  <c r="J16" i="13" s="1"/>
  <c r="K7" i="14"/>
  <c r="K16" i="13" s="1"/>
  <c r="L7" i="14"/>
  <c r="L16" i="13" s="1"/>
  <c r="M7" i="14"/>
  <c r="M16" i="13" s="1"/>
  <c r="N7" i="14"/>
  <c r="N16" i="13" s="1"/>
  <c r="I9" i="14"/>
  <c r="I26" i="13" s="1"/>
  <c r="J9" i="14"/>
  <c r="J26" i="13" s="1"/>
  <c r="K9" i="14"/>
  <c r="K26" i="13" s="1"/>
  <c r="L9" i="14"/>
  <c r="L26" i="13" s="1"/>
  <c r="M9" i="14"/>
  <c r="M26" i="13" s="1"/>
  <c r="N9" i="14"/>
  <c r="N26" i="13" s="1"/>
  <c r="I12" i="14"/>
  <c r="J12" i="14"/>
  <c r="K12" i="14"/>
  <c r="L12" i="14"/>
  <c r="M12" i="14"/>
  <c r="N12" i="14"/>
  <c r="I13" i="14"/>
  <c r="J13" i="14"/>
  <c r="J42" i="13" s="1"/>
  <c r="K13" i="14"/>
  <c r="K42" i="13" s="1"/>
  <c r="L13" i="14"/>
  <c r="L42" i="13" s="1"/>
  <c r="M13" i="14"/>
  <c r="M42" i="13" s="1"/>
  <c r="N13" i="14"/>
  <c r="N42" i="13" s="1"/>
  <c r="I14" i="14"/>
  <c r="I47" i="13" s="1"/>
  <c r="J14" i="14"/>
  <c r="J47" i="13" s="1"/>
  <c r="K14" i="14"/>
  <c r="K47" i="13" s="1"/>
  <c r="L14" i="14"/>
  <c r="L47" i="13" s="1"/>
  <c r="M14" i="14"/>
  <c r="M47" i="13" s="1"/>
  <c r="N14" i="14"/>
  <c r="N47" i="13" s="1"/>
  <c r="I17" i="14"/>
  <c r="J17" i="14"/>
  <c r="J58" i="13" s="1"/>
  <c r="K17" i="14"/>
  <c r="K58" i="13" s="1"/>
  <c r="L17" i="14"/>
  <c r="L58" i="13" s="1"/>
  <c r="M17" i="14"/>
  <c r="M58" i="13" s="1"/>
  <c r="N17" i="14"/>
  <c r="N58" i="13" s="1"/>
  <c r="I18" i="14"/>
  <c r="J18" i="14"/>
  <c r="J63" i="13" s="1"/>
  <c r="K18" i="14"/>
  <c r="K63" i="13" s="1"/>
  <c r="L18" i="14"/>
  <c r="L63" i="13" s="1"/>
  <c r="M18" i="14"/>
  <c r="M63" i="13" s="1"/>
  <c r="N18" i="14"/>
  <c r="N63" i="13" s="1"/>
  <c r="M6" i="6"/>
  <c r="M7" i="6"/>
  <c r="D137" i="1"/>
  <c r="CN13" i="29" s="1"/>
  <c r="Q8" i="15" l="1"/>
  <c r="Q10" i="15"/>
  <c r="Q13" i="15" s="1"/>
  <c r="Q15" i="15" s="1"/>
  <c r="G10" i="15"/>
  <c r="G13" i="15" s="1"/>
  <c r="G15" i="15" s="1"/>
  <c r="G17" i="15" s="1"/>
  <c r="G19" i="15" s="1"/>
  <c r="G21" i="15" s="1"/>
  <c r="G5" i="22" s="1"/>
  <c r="N8" i="15"/>
  <c r="N10" i="15"/>
  <c r="N13" i="15" s="1"/>
  <c r="N15" i="15" s="1"/>
  <c r="F8" i="15"/>
  <c r="F10" i="15"/>
  <c r="F13" i="15" s="1"/>
  <c r="F15" i="15" s="1"/>
  <c r="D17" i="15"/>
  <c r="D19" i="15" s="1"/>
  <c r="D21" i="15" s="1"/>
  <c r="D10" i="15"/>
  <c r="D13" i="15" s="1"/>
  <c r="D15" i="15" s="1"/>
  <c r="I8" i="15"/>
  <c r="I10" i="15"/>
  <c r="I13" i="15" s="1"/>
  <c r="I15" i="15" s="1"/>
  <c r="O42" i="14"/>
  <c r="J8" i="15"/>
  <c r="J10" i="15"/>
  <c r="J13" i="15" s="1"/>
  <c r="J15" i="15" s="1"/>
  <c r="E33" i="15"/>
  <c r="BP13" i="29"/>
  <c r="H131" i="1" s="1"/>
  <c r="G266" i="24"/>
  <c r="E151" i="24" s="1"/>
  <c r="F151" i="24" s="1"/>
  <c r="K266" i="24"/>
  <c r="G29" i="14"/>
  <c r="C12" i="13"/>
  <c r="C17" i="13"/>
  <c r="C23" i="13"/>
  <c r="C90" i="13"/>
  <c r="C128" i="13"/>
  <c r="C138" i="13"/>
  <c r="C144" i="13"/>
  <c r="C148" i="13"/>
  <c r="C154" i="13"/>
  <c r="C158" i="13"/>
  <c r="C164" i="13"/>
  <c r="C174" i="13"/>
  <c r="C80" i="13"/>
  <c r="C134" i="13"/>
  <c r="C27" i="13"/>
  <c r="C48" i="13"/>
  <c r="C91" i="13"/>
  <c r="C132" i="13"/>
  <c r="C28" i="13"/>
  <c r="C32" i="13"/>
  <c r="C53" i="13"/>
  <c r="C82" i="13"/>
  <c r="C86" i="13"/>
  <c r="C92" i="13"/>
  <c r="C127" i="13"/>
  <c r="C137" i="13"/>
  <c r="C147" i="13"/>
  <c r="C157" i="13"/>
  <c r="C173" i="13"/>
  <c r="C21" i="13"/>
  <c r="C81" i="13"/>
  <c r="C87" i="13"/>
  <c r="C96" i="13"/>
  <c r="C142" i="13"/>
  <c r="C152" i="13"/>
  <c r="C162" i="13"/>
  <c r="C22" i="13"/>
  <c r="C76" i="13"/>
  <c r="C85" i="13"/>
  <c r="C123" i="13"/>
  <c r="C129" i="13"/>
  <c r="C133" i="13"/>
  <c r="C139" i="13"/>
  <c r="C143" i="13"/>
  <c r="C149" i="13"/>
  <c r="C153" i="13"/>
  <c r="C159" i="13"/>
  <c r="C163" i="13"/>
  <c r="C175" i="13"/>
  <c r="G267" i="24"/>
  <c r="E152" i="24" s="1"/>
  <c r="F152" i="24" s="1"/>
  <c r="K267" i="24"/>
  <c r="O267" i="24"/>
  <c r="F265" i="24"/>
  <c r="F267" i="24"/>
  <c r="J267" i="24"/>
  <c r="N267" i="24"/>
  <c r="J265" i="24"/>
  <c r="J266" i="24"/>
  <c r="G265" i="24"/>
  <c r="E150" i="24" s="1"/>
  <c r="F150" i="24" s="1"/>
  <c r="K265" i="24"/>
  <c r="O265" i="24"/>
  <c r="F266" i="24"/>
  <c r="N266" i="24"/>
  <c r="C49" i="13"/>
  <c r="C97" i="13"/>
  <c r="C77" i="13"/>
  <c r="C54" i="13"/>
  <c r="C64" i="13"/>
  <c r="E52" i="13"/>
  <c r="C52" i="13" s="1"/>
  <c r="E95" i="13"/>
  <c r="C95" i="13" s="1"/>
  <c r="C44" i="13"/>
  <c r="C39" i="13"/>
  <c r="C38" i="13"/>
  <c r="M282" i="24"/>
  <c r="M105" i="24" s="1"/>
  <c r="M161" i="6"/>
  <c r="E284" i="24"/>
  <c r="E314" i="24" s="1"/>
  <c r="E163" i="6"/>
  <c r="M284" i="24"/>
  <c r="M107" i="24" s="1"/>
  <c r="M163" i="6"/>
  <c r="H284" i="24"/>
  <c r="H314" i="24" s="1"/>
  <c r="H163" i="6"/>
  <c r="P284" i="24"/>
  <c r="P314" i="24" s="1"/>
  <c r="P163" i="6"/>
  <c r="M283" i="24"/>
  <c r="M106" i="24" s="1"/>
  <c r="M162" i="6"/>
  <c r="F284" i="24"/>
  <c r="F314" i="24" s="1"/>
  <c r="F163" i="6"/>
  <c r="N284" i="24"/>
  <c r="N107" i="24" s="1"/>
  <c r="N163" i="6"/>
  <c r="D284" i="24"/>
  <c r="G284" i="24"/>
  <c r="G314" i="24" s="1"/>
  <c r="G163" i="6"/>
  <c r="O284" i="24"/>
  <c r="O107" i="24" s="1"/>
  <c r="O163" i="6"/>
  <c r="D302" i="24"/>
  <c r="C26" i="6"/>
  <c r="D328" i="24"/>
  <c r="C47" i="6"/>
  <c r="D366" i="24"/>
  <c r="C85" i="6"/>
  <c r="D390" i="24"/>
  <c r="C104" i="6"/>
  <c r="D391" i="24"/>
  <c r="C105" i="6"/>
  <c r="D422" i="24"/>
  <c r="C136" i="6"/>
  <c r="D432" i="24"/>
  <c r="C146" i="6"/>
  <c r="D287" i="24"/>
  <c r="C11" i="6"/>
  <c r="D299" i="24"/>
  <c r="C23" i="6"/>
  <c r="D343" i="24"/>
  <c r="C62" i="6"/>
  <c r="D412" i="24"/>
  <c r="C126" i="6"/>
  <c r="D303" i="24"/>
  <c r="C27" i="6"/>
  <c r="D304" i="24"/>
  <c r="C28" i="6"/>
  <c r="D317" i="24"/>
  <c r="C36" i="6"/>
  <c r="D318" i="24"/>
  <c r="C37" i="6"/>
  <c r="D319" i="24"/>
  <c r="C38" i="6"/>
  <c r="D327" i="24"/>
  <c r="C46" i="6"/>
  <c r="D337" i="24"/>
  <c r="C56" i="6"/>
  <c r="D364" i="24"/>
  <c r="C83" i="6"/>
  <c r="D375" i="24"/>
  <c r="C94" i="6"/>
  <c r="D376" i="24"/>
  <c r="C95" i="6"/>
  <c r="D389" i="24"/>
  <c r="C103" i="6"/>
  <c r="D401" i="24"/>
  <c r="C115" i="6"/>
  <c r="D406" i="24"/>
  <c r="C120" i="6"/>
  <c r="D417" i="24"/>
  <c r="C131" i="6"/>
  <c r="D431" i="24"/>
  <c r="C145" i="6"/>
  <c r="C42" i="6"/>
  <c r="D294" i="24"/>
  <c r="C18" i="6"/>
  <c r="D329" i="24"/>
  <c r="C48" i="6"/>
  <c r="D338" i="24"/>
  <c r="C57" i="6"/>
  <c r="D339" i="24"/>
  <c r="C58" i="6"/>
  <c r="D402" i="24"/>
  <c r="C116" i="6"/>
  <c r="D403" i="24"/>
  <c r="C117" i="6"/>
  <c r="D407" i="24"/>
  <c r="C121" i="6"/>
  <c r="D408" i="24"/>
  <c r="C122" i="6"/>
  <c r="D423" i="24"/>
  <c r="C137" i="6"/>
  <c r="D307" i="24"/>
  <c r="C31" i="6"/>
  <c r="D421" i="24"/>
  <c r="C135" i="6"/>
  <c r="D288" i="24"/>
  <c r="C12" i="6"/>
  <c r="D308" i="24"/>
  <c r="C32" i="6"/>
  <c r="D309" i="24"/>
  <c r="C33" i="6"/>
  <c r="D342" i="24"/>
  <c r="C61" i="6"/>
  <c r="D374" i="24"/>
  <c r="C93" i="6"/>
  <c r="D385" i="24"/>
  <c r="C99" i="6"/>
  <c r="D411" i="24"/>
  <c r="C125" i="6"/>
  <c r="C41" i="6"/>
  <c r="C43" i="6"/>
  <c r="CY10" i="29"/>
  <c r="ER11" i="29" s="1"/>
  <c r="EP20" i="29" s="1"/>
  <c r="FG20" i="29"/>
  <c r="C18" i="13"/>
  <c r="CN12" i="29"/>
  <c r="CN14" i="29" s="1"/>
  <c r="L433" i="24"/>
  <c r="L107" i="24" s="1"/>
  <c r="C147" i="6"/>
  <c r="L418" i="24"/>
  <c r="L413" i="24"/>
  <c r="C127" i="6"/>
  <c r="I371" i="24"/>
  <c r="C90" i="6"/>
  <c r="C65" i="13"/>
  <c r="I344" i="24"/>
  <c r="C63" i="6"/>
  <c r="I289" i="24"/>
  <c r="C13" i="6"/>
  <c r="I284" i="24"/>
  <c r="I107" i="24" s="1"/>
  <c r="C8" i="6"/>
  <c r="I369" i="24"/>
  <c r="C88" i="6"/>
  <c r="I63" i="13"/>
  <c r="I359" i="24"/>
  <c r="C78" i="6"/>
  <c r="I58" i="13"/>
  <c r="I57" i="13" s="1"/>
  <c r="I42" i="13"/>
  <c r="I41" i="13" s="1"/>
  <c r="I297" i="24"/>
  <c r="C21" i="6"/>
  <c r="I292" i="24"/>
  <c r="C16" i="6"/>
  <c r="I365" i="24"/>
  <c r="C84" i="6"/>
  <c r="C59" i="13"/>
  <c r="I370" i="24"/>
  <c r="C89" i="6"/>
  <c r="I360" i="24"/>
  <c r="C79" i="6"/>
  <c r="I293" i="24"/>
  <c r="C17" i="6"/>
  <c r="C43" i="13"/>
  <c r="I298" i="24"/>
  <c r="C22" i="6"/>
  <c r="C31" i="13"/>
  <c r="C71" i="1"/>
  <c r="C81" i="1"/>
  <c r="C97" i="1"/>
  <c r="C98" i="1"/>
  <c r="D216" i="24"/>
  <c r="C12" i="1"/>
  <c r="D217" i="24"/>
  <c r="C13" i="1"/>
  <c r="D231" i="24"/>
  <c r="C27" i="1"/>
  <c r="D245" i="24"/>
  <c r="C41" i="1"/>
  <c r="D215" i="24"/>
  <c r="C11" i="1"/>
  <c r="D230" i="24"/>
  <c r="C26" i="1"/>
  <c r="D235" i="24"/>
  <c r="C36" i="1"/>
  <c r="D212" i="24"/>
  <c r="C8" i="1"/>
  <c r="D246" i="24"/>
  <c r="C42" i="1"/>
  <c r="D247" i="24"/>
  <c r="C43" i="1"/>
  <c r="C72" i="1"/>
  <c r="C73" i="1"/>
  <c r="C82" i="1"/>
  <c r="C83" i="1"/>
  <c r="D232" i="24"/>
  <c r="C28" i="1"/>
  <c r="D236" i="24"/>
  <c r="C37" i="1"/>
  <c r="D237" i="24"/>
  <c r="C38" i="1"/>
  <c r="C118" i="13"/>
  <c r="C119" i="13"/>
  <c r="D255" i="24"/>
  <c r="C51" i="1"/>
  <c r="E117" i="13"/>
  <c r="C117" i="13" s="1"/>
  <c r="E122" i="13"/>
  <c r="E121" i="13" s="1"/>
  <c r="E13" i="23" s="1"/>
  <c r="C75" i="6"/>
  <c r="D355" i="24"/>
  <c r="C74" i="6"/>
  <c r="C33" i="13"/>
  <c r="D256" i="24"/>
  <c r="C52" i="1"/>
  <c r="D257" i="24"/>
  <c r="C53" i="1"/>
  <c r="D354" i="24"/>
  <c r="C73" i="6"/>
  <c r="D384" i="24"/>
  <c r="C98" i="6"/>
  <c r="C13" i="13"/>
  <c r="Q62" i="13"/>
  <c r="Q57" i="13"/>
  <c r="Q29" i="14"/>
  <c r="Q75" i="13"/>
  <c r="Q74" i="13" s="1"/>
  <c r="Q36" i="13"/>
  <c r="Q20" i="23"/>
  <c r="H25" i="15"/>
  <c r="H108" i="1" s="1"/>
  <c r="P134" i="6"/>
  <c r="P420" i="24" s="1"/>
  <c r="EP10" i="29"/>
  <c r="EO19" i="29" s="1"/>
  <c r="H102" i="1"/>
  <c r="C102" i="1" s="1"/>
  <c r="M16" i="15"/>
  <c r="M63" i="1" s="1"/>
  <c r="M262" i="24" s="1"/>
  <c r="O182" i="24" s="1"/>
  <c r="K16" i="15"/>
  <c r="K63" i="1" s="1"/>
  <c r="K262" i="24" s="1"/>
  <c r="O16" i="15"/>
  <c r="O63" i="1" s="1"/>
  <c r="O262" i="24" s="1"/>
  <c r="I24" i="12"/>
  <c r="I101" i="1" s="1"/>
  <c r="P16" i="15"/>
  <c r="P63" i="1" s="1"/>
  <c r="P262" i="24" s="1"/>
  <c r="Q421" i="24"/>
  <c r="Q420" i="24"/>
  <c r="H103" i="1"/>
  <c r="L24" i="12"/>
  <c r="L101" i="1" s="1"/>
  <c r="J24" i="12"/>
  <c r="J101" i="1" s="1"/>
  <c r="K24" i="12"/>
  <c r="K101" i="1" s="1"/>
  <c r="D50" i="1"/>
  <c r="K29" i="14"/>
  <c r="E380" i="24"/>
  <c r="M380" i="24"/>
  <c r="Q380" i="24"/>
  <c r="D111" i="13"/>
  <c r="H111" i="13"/>
  <c r="L111" i="13"/>
  <c r="P111" i="13"/>
  <c r="K314" i="24"/>
  <c r="E379" i="24"/>
  <c r="M379" i="24"/>
  <c r="Q379" i="24"/>
  <c r="H380" i="24"/>
  <c r="L380" i="24"/>
  <c r="P380" i="24"/>
  <c r="G111" i="13"/>
  <c r="K111" i="13"/>
  <c r="O111" i="13"/>
  <c r="E112" i="13"/>
  <c r="I112" i="13"/>
  <c r="M112" i="13"/>
  <c r="J314" i="24"/>
  <c r="G380" i="24"/>
  <c r="K380" i="24"/>
  <c r="O380" i="24"/>
  <c r="F111" i="13"/>
  <c r="J111" i="13"/>
  <c r="N111" i="13"/>
  <c r="F380" i="24"/>
  <c r="J380" i="24"/>
  <c r="N380" i="24"/>
  <c r="D110" i="13"/>
  <c r="E111" i="13"/>
  <c r="I111" i="13"/>
  <c r="M111" i="13"/>
  <c r="Q111" i="13"/>
  <c r="L314" i="24"/>
  <c r="E29" i="14"/>
  <c r="I52" i="6"/>
  <c r="I333" i="24" s="1"/>
  <c r="I323" i="24"/>
  <c r="M52" i="6"/>
  <c r="M333" i="24" s="1"/>
  <c r="M323" i="24"/>
  <c r="Q333" i="24"/>
  <c r="Q323" i="24"/>
  <c r="G53" i="6"/>
  <c r="G334" i="24" s="1"/>
  <c r="G324" i="24"/>
  <c r="K53" i="6"/>
  <c r="K334" i="24" s="1"/>
  <c r="K324" i="24"/>
  <c r="O53" i="6"/>
  <c r="O334" i="24" s="1"/>
  <c r="O324" i="24"/>
  <c r="E356" i="24"/>
  <c r="E381" i="24" s="1"/>
  <c r="M356" i="24"/>
  <c r="M381" i="24" s="1"/>
  <c r="O24" i="12"/>
  <c r="O101" i="1" s="1"/>
  <c r="D52" i="6"/>
  <c r="D323" i="24"/>
  <c r="H52" i="6"/>
  <c r="H333" i="24" s="1"/>
  <c r="H323" i="24"/>
  <c r="L52" i="6"/>
  <c r="L333" i="24" s="1"/>
  <c r="L323" i="24"/>
  <c r="P52" i="6"/>
  <c r="P333" i="24" s="1"/>
  <c r="P323" i="24"/>
  <c r="D356" i="24"/>
  <c r="H356" i="24"/>
  <c r="H381" i="24" s="1"/>
  <c r="L356" i="24"/>
  <c r="L381" i="24" s="1"/>
  <c r="P356" i="24"/>
  <c r="P381" i="24" s="1"/>
  <c r="M24" i="12"/>
  <c r="M101" i="1" s="1"/>
  <c r="P24" i="12"/>
  <c r="P101" i="1" s="1"/>
  <c r="G52" i="6"/>
  <c r="G333" i="24" s="1"/>
  <c r="G323" i="24"/>
  <c r="K52" i="6"/>
  <c r="K333" i="24" s="1"/>
  <c r="K323" i="24"/>
  <c r="O52" i="6"/>
  <c r="O333" i="24" s="1"/>
  <c r="O323" i="24"/>
  <c r="E53" i="6"/>
  <c r="E334" i="24" s="1"/>
  <c r="E324" i="24"/>
  <c r="I53" i="6"/>
  <c r="I334" i="24" s="1"/>
  <c r="I324" i="24"/>
  <c r="M53" i="6"/>
  <c r="M334" i="24" s="1"/>
  <c r="M324" i="24"/>
  <c r="G356" i="24"/>
  <c r="G381" i="24" s="1"/>
  <c r="O356" i="24"/>
  <c r="O381" i="24" s="1"/>
  <c r="N24" i="12"/>
  <c r="N101" i="1" s="1"/>
  <c r="Q24" i="12"/>
  <c r="Q101" i="1" s="1"/>
  <c r="F52" i="6"/>
  <c r="F333" i="24" s="1"/>
  <c r="F323" i="24"/>
  <c r="J52" i="6"/>
  <c r="J333" i="24" s="1"/>
  <c r="J323" i="24"/>
  <c r="N52" i="6"/>
  <c r="N333" i="24" s="1"/>
  <c r="N323" i="24"/>
  <c r="D53" i="6"/>
  <c r="D324" i="24"/>
  <c r="H53" i="6"/>
  <c r="H334" i="24" s="1"/>
  <c r="H324" i="24"/>
  <c r="L53" i="6"/>
  <c r="L334" i="24" s="1"/>
  <c r="L324" i="24"/>
  <c r="P53" i="6"/>
  <c r="P334" i="24" s="1"/>
  <c r="P324" i="24"/>
  <c r="F356" i="24"/>
  <c r="F381" i="24" s="1"/>
  <c r="N356" i="24"/>
  <c r="N381" i="24" s="1"/>
  <c r="O266" i="24"/>
  <c r="N265" i="24"/>
  <c r="J147" i="24"/>
  <c r="K147" i="24" s="1"/>
  <c r="L147" i="24" s="1"/>
  <c r="H9" i="24"/>
  <c r="L9" i="24"/>
  <c r="E147" i="24"/>
  <c r="E157" i="24" s="1"/>
  <c r="G9" i="24"/>
  <c r="K9" i="24"/>
  <c r="O9" i="24"/>
  <c r="F9" i="24"/>
  <c r="J9" i="24"/>
  <c r="N9" i="24"/>
  <c r="E267" i="24"/>
  <c r="I267" i="24"/>
  <c r="M267" i="24"/>
  <c r="O152" i="24" s="1"/>
  <c r="P152" i="24" s="1"/>
  <c r="Q267" i="24"/>
  <c r="P9" i="24"/>
  <c r="E18" i="1"/>
  <c r="E212" i="24"/>
  <c r="I18" i="1"/>
  <c r="I212" i="24"/>
  <c r="M18" i="1"/>
  <c r="M212" i="24"/>
  <c r="Q18" i="1"/>
  <c r="Q212" i="24"/>
  <c r="D267" i="24"/>
  <c r="H267" i="24"/>
  <c r="J152" i="24" s="1"/>
  <c r="K152" i="24" s="1"/>
  <c r="L267" i="24"/>
  <c r="P267" i="24"/>
  <c r="Q70" i="24"/>
  <c r="Q65" i="24"/>
  <c r="D266" i="24"/>
  <c r="H266" i="24"/>
  <c r="J151" i="24" s="1"/>
  <c r="K151" i="24" s="1"/>
  <c r="L266" i="24"/>
  <c r="P266" i="24"/>
  <c r="P70" i="24"/>
  <c r="P65" i="24"/>
  <c r="E266" i="24"/>
  <c r="I266" i="24"/>
  <c r="M266" i="24"/>
  <c r="O151" i="24" s="1"/>
  <c r="P151" i="24" s="1"/>
  <c r="Q266" i="24"/>
  <c r="I265" i="24"/>
  <c r="M265" i="24"/>
  <c r="O150" i="24" s="1"/>
  <c r="P150" i="24" s="1"/>
  <c r="D265" i="24"/>
  <c r="H265" i="24"/>
  <c r="J150" i="24" s="1"/>
  <c r="K150" i="24" s="1"/>
  <c r="L265" i="24"/>
  <c r="P265" i="24"/>
  <c r="E265" i="24"/>
  <c r="Q265" i="24"/>
  <c r="P160" i="24"/>
  <c r="K175" i="24"/>
  <c r="F175" i="24"/>
  <c r="Q64" i="24"/>
  <c r="Q69" i="24"/>
  <c r="P64" i="24"/>
  <c r="P69" i="24"/>
  <c r="P175" i="24"/>
  <c r="K356" i="24"/>
  <c r="K381" i="24" s="1"/>
  <c r="J356" i="24"/>
  <c r="J381" i="24" s="1"/>
  <c r="I356" i="24"/>
  <c r="K107" i="24"/>
  <c r="J107" i="24"/>
  <c r="F379" i="24"/>
  <c r="J379" i="24"/>
  <c r="N379" i="24"/>
  <c r="K37" i="13"/>
  <c r="K36" i="13" s="1"/>
  <c r="H51" i="6"/>
  <c r="H332" i="24" s="1"/>
  <c r="H322" i="24"/>
  <c r="P51" i="6"/>
  <c r="P322" i="24"/>
  <c r="L37" i="13"/>
  <c r="L36" i="13" s="1"/>
  <c r="O37" i="13"/>
  <c r="O36" i="13" s="1"/>
  <c r="L75" i="13"/>
  <c r="L110" i="13" s="1"/>
  <c r="L29" i="14"/>
  <c r="M37" i="13"/>
  <c r="M36" i="13" s="1"/>
  <c r="FF9" i="29"/>
  <c r="FF12" i="29" s="1"/>
  <c r="FF20" i="29" s="1"/>
  <c r="I37" i="13"/>
  <c r="I36" i="13" s="1"/>
  <c r="P37" i="13"/>
  <c r="P36" i="13" s="1"/>
  <c r="F51" i="6"/>
  <c r="F332" i="24" s="1"/>
  <c r="F322" i="24"/>
  <c r="J51" i="6"/>
  <c r="J332" i="24" s="1"/>
  <c r="J322" i="24"/>
  <c r="N51" i="6"/>
  <c r="N332" i="24" s="1"/>
  <c r="N322" i="24"/>
  <c r="M75" i="13"/>
  <c r="M74" i="13" s="1"/>
  <c r="I75" i="13"/>
  <c r="I110" i="13" s="1"/>
  <c r="I29" i="14"/>
  <c r="H379" i="24"/>
  <c r="L379" i="24"/>
  <c r="P379" i="24"/>
  <c r="D51" i="6"/>
  <c r="D322" i="24"/>
  <c r="L51" i="6"/>
  <c r="L332" i="24" s="1"/>
  <c r="L322" i="24"/>
  <c r="G51" i="6"/>
  <c r="G322" i="24"/>
  <c r="K51" i="6"/>
  <c r="K322" i="24"/>
  <c r="P75" i="13"/>
  <c r="P110" i="13" s="1"/>
  <c r="P29" i="14"/>
  <c r="H75" i="13"/>
  <c r="H110" i="13" s="1"/>
  <c r="H29" i="14"/>
  <c r="N37" i="13"/>
  <c r="N36" i="13" s="1"/>
  <c r="J37" i="13"/>
  <c r="J36" i="13" s="1"/>
  <c r="I51" i="6"/>
  <c r="I332" i="24" s="1"/>
  <c r="I322" i="24"/>
  <c r="M51" i="6"/>
  <c r="M332" i="24" s="1"/>
  <c r="M322" i="24"/>
  <c r="Q332" i="24"/>
  <c r="Q322" i="24"/>
  <c r="N75" i="13"/>
  <c r="N110" i="13" s="1"/>
  <c r="N29" i="14"/>
  <c r="J75" i="13"/>
  <c r="J110" i="13" s="1"/>
  <c r="J29" i="14"/>
  <c r="F75" i="13"/>
  <c r="F110" i="13" s="1"/>
  <c r="F29" i="14"/>
  <c r="G379" i="24"/>
  <c r="K379" i="24"/>
  <c r="O379" i="24"/>
  <c r="H112" i="13"/>
  <c r="L112" i="13"/>
  <c r="P112" i="13"/>
  <c r="D112" i="13"/>
  <c r="K126" i="13"/>
  <c r="F112" i="13"/>
  <c r="J112" i="13"/>
  <c r="N112" i="13"/>
  <c r="G112" i="13"/>
  <c r="K112" i="13"/>
  <c r="O112" i="13"/>
  <c r="I80" i="1"/>
  <c r="M80" i="1"/>
  <c r="Q80" i="1"/>
  <c r="G18" i="1"/>
  <c r="K18" i="1"/>
  <c r="O18" i="1"/>
  <c r="J35" i="1"/>
  <c r="J234" i="24" s="1"/>
  <c r="N35" i="1"/>
  <c r="N234" i="24" s="1"/>
  <c r="P18" i="1"/>
  <c r="Q70" i="1"/>
  <c r="G80" i="1"/>
  <c r="K80" i="1"/>
  <c r="O80" i="1"/>
  <c r="F80" i="1"/>
  <c r="J80" i="1"/>
  <c r="F35" i="1"/>
  <c r="F234" i="24" s="1"/>
  <c r="Q25" i="1"/>
  <c r="Q229" i="24" s="1"/>
  <c r="G70" i="1"/>
  <c r="K70" i="1"/>
  <c r="O70" i="1"/>
  <c r="D80" i="1"/>
  <c r="H80" i="1"/>
  <c r="L80" i="1"/>
  <c r="P80" i="1"/>
  <c r="M35" i="1"/>
  <c r="M234" i="24" s="1"/>
  <c r="O164" i="24" s="1"/>
  <c r="P164" i="24" s="1"/>
  <c r="K50" i="1"/>
  <c r="F18" i="1"/>
  <c r="J18" i="1"/>
  <c r="N18" i="1"/>
  <c r="H18" i="1"/>
  <c r="L18" i="1"/>
  <c r="D5" i="22"/>
  <c r="H5" i="22"/>
  <c r="D70" i="1"/>
  <c r="H70" i="1"/>
  <c r="L70" i="1"/>
  <c r="P70" i="1"/>
  <c r="N80" i="1"/>
  <c r="I70" i="1"/>
  <c r="G35" i="1"/>
  <c r="G234" i="24" s="1"/>
  <c r="E164" i="24" s="1"/>
  <c r="F164" i="24" s="1"/>
  <c r="K35" i="1"/>
  <c r="K234" i="24" s="1"/>
  <c r="O35" i="1"/>
  <c r="O234" i="24" s="1"/>
  <c r="F95" i="1"/>
  <c r="J95" i="1"/>
  <c r="P95" i="1"/>
  <c r="E25" i="1"/>
  <c r="E229" i="24" s="1"/>
  <c r="I25" i="1"/>
  <c r="I229" i="24" s="1"/>
  <c r="M25" i="1"/>
  <c r="M229" i="24" s="1"/>
  <c r="O159" i="24" s="1"/>
  <c r="P159" i="24" s="1"/>
  <c r="H25" i="1"/>
  <c r="H229" i="24" s="1"/>
  <c r="J159" i="24" s="1"/>
  <c r="K159" i="24" s="1"/>
  <c r="L25" i="1"/>
  <c r="L229" i="24" s="1"/>
  <c r="P25" i="1"/>
  <c r="P229" i="24" s="1"/>
  <c r="G10" i="1"/>
  <c r="G214" i="24" s="1"/>
  <c r="D95" i="1"/>
  <c r="H95" i="1"/>
  <c r="L95" i="1"/>
  <c r="K95" i="1"/>
  <c r="G40" i="1"/>
  <c r="G244" i="24" s="1"/>
  <c r="F40" i="1"/>
  <c r="F244" i="24" s="1"/>
  <c r="F70" i="1"/>
  <c r="J70" i="1"/>
  <c r="N70" i="1"/>
  <c r="E70" i="1"/>
  <c r="M70" i="1"/>
  <c r="G25" i="1"/>
  <c r="G229" i="24" s="1"/>
  <c r="E159" i="24" s="1"/>
  <c r="F159" i="24" s="1"/>
  <c r="H50" i="1"/>
  <c r="BB6" i="29" s="1"/>
  <c r="G50" i="1"/>
  <c r="BA6" i="29" s="1"/>
  <c r="O50" i="1"/>
  <c r="I35" i="1"/>
  <c r="I234" i="24" s="1"/>
  <c r="Q35" i="1"/>
  <c r="Q234" i="24" s="1"/>
  <c r="E35" i="1"/>
  <c r="E234" i="24" s="1"/>
  <c r="L50" i="1"/>
  <c r="P50" i="1"/>
  <c r="D35" i="1"/>
  <c r="H35" i="1"/>
  <c r="H234" i="24" s="1"/>
  <c r="J164" i="24" s="1"/>
  <c r="K164" i="24" s="1"/>
  <c r="L35" i="1"/>
  <c r="L234" i="24" s="1"/>
  <c r="P35" i="1"/>
  <c r="P234" i="24" s="1"/>
  <c r="E10" i="1"/>
  <c r="E214" i="24" s="1"/>
  <c r="G95" i="1"/>
  <c r="O95" i="1"/>
  <c r="H60" i="1"/>
  <c r="H259" i="24" s="1"/>
  <c r="J179" i="24" s="1"/>
  <c r="D10" i="1"/>
  <c r="H10" i="1"/>
  <c r="H214" i="24" s="1"/>
  <c r="N95" i="1"/>
  <c r="I95" i="1"/>
  <c r="Q95" i="1"/>
  <c r="D40" i="1"/>
  <c r="H40" i="1"/>
  <c r="H244" i="24" s="1"/>
  <c r="K25" i="1"/>
  <c r="K229" i="24" s="1"/>
  <c r="O25" i="1"/>
  <c r="O229" i="24" s="1"/>
  <c r="F50" i="1"/>
  <c r="J50" i="1"/>
  <c r="N50" i="1"/>
  <c r="F25" i="1"/>
  <c r="F229" i="24" s="1"/>
  <c r="J25" i="1"/>
  <c r="J229" i="24" s="1"/>
  <c r="N25" i="1"/>
  <c r="N229" i="24" s="1"/>
  <c r="I50" i="1"/>
  <c r="M50" i="1"/>
  <c r="BC6" i="29" s="1"/>
  <c r="Q50" i="1"/>
  <c r="F10" i="1"/>
  <c r="F214" i="24" s="1"/>
  <c r="D100" i="1"/>
  <c r="E95" i="1"/>
  <c r="E40" i="1"/>
  <c r="E244" i="24" s="1"/>
  <c r="E80" i="1"/>
  <c r="D25" i="1"/>
  <c r="E50" i="1"/>
  <c r="K136" i="13"/>
  <c r="O172" i="13"/>
  <c r="G156" i="13"/>
  <c r="L141" i="13"/>
  <c r="G84" i="13"/>
  <c r="O84" i="13"/>
  <c r="G136" i="13"/>
  <c r="G146" i="13"/>
  <c r="K156" i="13"/>
  <c r="F20" i="13"/>
  <c r="K30" i="13"/>
  <c r="G131" i="13"/>
  <c r="G20" i="13"/>
  <c r="L126" i="13"/>
  <c r="H146" i="13"/>
  <c r="N151" i="13"/>
  <c r="K84" i="13"/>
  <c r="G126" i="13"/>
  <c r="O126" i="13"/>
  <c r="E131" i="13"/>
  <c r="I131" i="13"/>
  <c r="O136" i="13"/>
  <c r="K146" i="13"/>
  <c r="O146" i="13"/>
  <c r="O156" i="13"/>
  <c r="G172" i="13"/>
  <c r="K172" i="13"/>
  <c r="K20" i="13"/>
  <c r="O20" i="13"/>
  <c r="P30" i="13"/>
  <c r="D79" i="13"/>
  <c r="H79" i="13"/>
  <c r="L79" i="13"/>
  <c r="P79" i="13"/>
  <c r="F84" i="13"/>
  <c r="J84" i="13"/>
  <c r="N84" i="13"/>
  <c r="D89" i="13"/>
  <c r="H89" i="13"/>
  <c r="L89" i="13"/>
  <c r="D94" i="13"/>
  <c r="D99" i="13"/>
  <c r="H99" i="13"/>
  <c r="L99" i="13"/>
  <c r="P99" i="13"/>
  <c r="F126" i="13"/>
  <c r="J126" i="13"/>
  <c r="N126" i="13"/>
  <c r="D131" i="13"/>
  <c r="H131" i="13"/>
  <c r="L131" i="13"/>
  <c r="F136" i="13"/>
  <c r="J136" i="13"/>
  <c r="N136" i="13"/>
  <c r="P141" i="13"/>
  <c r="F146" i="13"/>
  <c r="J146" i="13"/>
  <c r="N146" i="13"/>
  <c r="D151" i="13"/>
  <c r="H151" i="13"/>
  <c r="L151" i="13"/>
  <c r="F156" i="13"/>
  <c r="J156" i="13"/>
  <c r="N156" i="13"/>
  <c r="P161" i="13"/>
  <c r="F172" i="13"/>
  <c r="J172" i="13"/>
  <c r="N172" i="13"/>
  <c r="N20" i="13"/>
  <c r="O79" i="13"/>
  <c r="H84" i="13"/>
  <c r="K89" i="13"/>
  <c r="O89" i="13"/>
  <c r="G99" i="13"/>
  <c r="K99" i="13"/>
  <c r="D126" i="13"/>
  <c r="N131" i="13"/>
  <c r="K131" i="13"/>
  <c r="F141" i="13"/>
  <c r="K141" i="13"/>
  <c r="G151" i="13"/>
  <c r="K151" i="13"/>
  <c r="F161" i="13"/>
  <c r="K161" i="13"/>
  <c r="P172" i="13"/>
  <c r="D36" i="13"/>
  <c r="O30" i="13"/>
  <c r="K79" i="13"/>
  <c r="O99" i="13"/>
  <c r="O141" i="13"/>
  <c r="G161" i="13"/>
  <c r="O161" i="13"/>
  <c r="G30" i="13"/>
  <c r="G79" i="13"/>
  <c r="G89" i="13"/>
  <c r="O131" i="13"/>
  <c r="G141" i="13"/>
  <c r="O151" i="13"/>
  <c r="J20" i="13"/>
  <c r="D20" i="13"/>
  <c r="H20" i="13"/>
  <c r="L20" i="13"/>
  <c r="F30" i="13"/>
  <c r="J30" i="13"/>
  <c r="N30" i="13"/>
  <c r="F79" i="13"/>
  <c r="J79" i="13"/>
  <c r="N79" i="13"/>
  <c r="D84" i="13"/>
  <c r="L84" i="13"/>
  <c r="P84" i="13"/>
  <c r="F89" i="13"/>
  <c r="J89" i="13"/>
  <c r="N89" i="13"/>
  <c r="F99" i="13"/>
  <c r="J99" i="13"/>
  <c r="N99" i="13"/>
  <c r="H126" i="13"/>
  <c r="P126" i="13"/>
  <c r="F131" i="13"/>
  <c r="J131" i="13"/>
  <c r="H136" i="13"/>
  <c r="L136" i="13"/>
  <c r="P136" i="13"/>
  <c r="J141" i="13"/>
  <c r="N141" i="13"/>
  <c r="D146" i="13"/>
  <c r="L146" i="13"/>
  <c r="P146" i="13"/>
  <c r="F151" i="13"/>
  <c r="J151" i="13"/>
  <c r="H156" i="13"/>
  <c r="L156" i="13"/>
  <c r="P156" i="13"/>
  <c r="J161" i="13"/>
  <c r="N161" i="13"/>
  <c r="D172" i="13"/>
  <c r="H172" i="13"/>
  <c r="L172" i="13"/>
  <c r="E20" i="13"/>
  <c r="I20" i="13"/>
  <c r="M25" i="13"/>
  <c r="E89" i="13"/>
  <c r="I89" i="13"/>
  <c r="E99" i="13"/>
  <c r="I99" i="13"/>
  <c r="E151" i="13"/>
  <c r="I151" i="13"/>
  <c r="M151" i="13"/>
  <c r="D182" i="13"/>
  <c r="D41" i="13"/>
  <c r="O114" i="6"/>
  <c r="O400" i="24" s="1"/>
  <c r="K97" i="6"/>
  <c r="K22" i="23" s="1"/>
  <c r="G97" i="6"/>
  <c r="G22" i="23" s="1"/>
  <c r="D97" i="6"/>
  <c r="G114" i="6"/>
  <c r="G400" i="24" s="1"/>
  <c r="K114" i="6"/>
  <c r="K400" i="24" s="1"/>
  <c r="D114" i="6"/>
  <c r="Q284" i="24"/>
  <c r="P82" i="6"/>
  <c r="P363" i="24" s="1"/>
  <c r="G119" i="6"/>
  <c r="G405" i="24" s="1"/>
  <c r="O119" i="6"/>
  <c r="O405" i="24" s="1"/>
  <c r="K75" i="13"/>
  <c r="K110" i="13" s="1"/>
  <c r="J60" i="6"/>
  <c r="J341" i="24" s="1"/>
  <c r="H92" i="6"/>
  <c r="H373" i="24" s="1"/>
  <c r="E75" i="13"/>
  <c r="O122" i="13"/>
  <c r="E102" i="6"/>
  <c r="E388" i="24" s="1"/>
  <c r="K119" i="6"/>
  <c r="K405" i="24" s="1"/>
  <c r="J46" i="13"/>
  <c r="G75" i="13"/>
  <c r="G110" i="13" s="1"/>
  <c r="O75" i="13"/>
  <c r="O110" i="13" s="1"/>
  <c r="G10" i="6"/>
  <c r="G286" i="24" s="1"/>
  <c r="O10" i="6"/>
  <c r="O286" i="24" s="1"/>
  <c r="I40" i="6"/>
  <c r="I321" i="24" s="1"/>
  <c r="J55" i="6"/>
  <c r="J336" i="24" s="1"/>
  <c r="G82" i="6"/>
  <c r="G363" i="24" s="1"/>
  <c r="O87" i="6"/>
  <c r="O368" i="24" s="1"/>
  <c r="K124" i="6"/>
  <c r="K410" i="24" s="1"/>
  <c r="F129" i="6"/>
  <c r="F415" i="24" s="1"/>
  <c r="H134" i="6"/>
  <c r="H420" i="24" s="1"/>
  <c r="K134" i="6"/>
  <c r="K420" i="24" s="1"/>
  <c r="M41" i="13"/>
  <c r="O46" i="13"/>
  <c r="K46" i="13"/>
  <c r="M62" i="13"/>
  <c r="K94" i="13"/>
  <c r="O94" i="13"/>
  <c r="P20" i="13"/>
  <c r="H30" i="13"/>
  <c r="H141" i="13"/>
  <c r="P151" i="13"/>
  <c r="L161" i="13"/>
  <c r="L30" i="13"/>
  <c r="P89" i="13"/>
  <c r="P131" i="13"/>
  <c r="H161" i="13"/>
  <c r="O57" i="13"/>
  <c r="F51" i="13"/>
  <c r="J51" i="13"/>
  <c r="N51" i="13"/>
  <c r="O51" i="13"/>
  <c r="L57" i="13"/>
  <c r="P57" i="13"/>
  <c r="N62" i="13"/>
  <c r="J116" i="13"/>
  <c r="J62" i="13"/>
  <c r="J121" i="13"/>
  <c r="J13" i="23" s="1"/>
  <c r="J25" i="13"/>
  <c r="N25" i="13"/>
  <c r="F121" i="13"/>
  <c r="F13" i="23" s="1"/>
  <c r="H94" i="13"/>
  <c r="J41" i="13"/>
  <c r="N41" i="13"/>
  <c r="I25" i="13"/>
  <c r="F116" i="13"/>
  <c r="N116" i="13"/>
  <c r="L41" i="13"/>
  <c r="P51" i="13"/>
  <c r="J57" i="13"/>
  <c r="N57" i="13"/>
  <c r="F94" i="13"/>
  <c r="N94" i="13"/>
  <c r="H121" i="13"/>
  <c r="H13" i="23" s="1"/>
  <c r="G116" i="13"/>
  <c r="K116" i="13"/>
  <c r="O116" i="13"/>
  <c r="J94" i="13"/>
  <c r="L62" i="13"/>
  <c r="P62" i="13"/>
  <c r="K57" i="13"/>
  <c r="H51" i="13"/>
  <c r="L51" i="13"/>
  <c r="N46" i="13"/>
  <c r="P41" i="13"/>
  <c r="J10" i="13"/>
  <c r="L10" i="13"/>
  <c r="K25" i="13"/>
  <c r="O25" i="13"/>
  <c r="K10" i="13"/>
  <c r="K41" i="13"/>
  <c r="O41" i="13"/>
  <c r="L46" i="13"/>
  <c r="P46" i="13"/>
  <c r="G51" i="13"/>
  <c r="K51" i="13"/>
  <c r="K62" i="13"/>
  <c r="O62" i="13"/>
  <c r="L94" i="13"/>
  <c r="P94" i="13"/>
  <c r="H116" i="13"/>
  <c r="L116" i="13"/>
  <c r="P116" i="13"/>
  <c r="G121" i="13"/>
  <c r="G13" i="23" s="1"/>
  <c r="K121" i="13"/>
  <c r="K13" i="23" s="1"/>
  <c r="G94" i="13"/>
  <c r="L25" i="13"/>
  <c r="P25" i="13"/>
  <c r="M57" i="13"/>
  <c r="M46" i="13"/>
  <c r="I84" i="13"/>
  <c r="I94" i="13"/>
  <c r="I116" i="13"/>
  <c r="E126" i="13"/>
  <c r="M126" i="13"/>
  <c r="E136" i="13"/>
  <c r="I136" i="13"/>
  <c r="M136" i="13"/>
  <c r="E146" i="13"/>
  <c r="I146" i="13"/>
  <c r="M146" i="13"/>
  <c r="E156" i="13"/>
  <c r="I156" i="13"/>
  <c r="M156" i="13"/>
  <c r="E172" i="13"/>
  <c r="I172" i="13"/>
  <c r="M172" i="13"/>
  <c r="I10" i="13"/>
  <c r="M20" i="13"/>
  <c r="E30" i="13"/>
  <c r="I30" i="13"/>
  <c r="M30" i="13"/>
  <c r="I51" i="13"/>
  <c r="M51" i="13"/>
  <c r="E79" i="13"/>
  <c r="I79" i="13"/>
  <c r="M79" i="13"/>
  <c r="M89" i="13"/>
  <c r="I121" i="13"/>
  <c r="I13" i="23" s="1"/>
  <c r="M131" i="13"/>
  <c r="E141" i="13"/>
  <c r="I141" i="13"/>
  <c r="M141" i="13"/>
  <c r="E161" i="13"/>
  <c r="I161" i="13"/>
  <c r="M161" i="13"/>
  <c r="I46" i="13"/>
  <c r="E84" i="13"/>
  <c r="M84" i="13"/>
  <c r="M94" i="13"/>
  <c r="M116" i="13"/>
  <c r="I126" i="13"/>
  <c r="D10" i="13"/>
  <c r="D30" i="13"/>
  <c r="D51" i="13"/>
  <c r="D74" i="13"/>
  <c r="D121" i="13"/>
  <c r="D13" i="23" s="1"/>
  <c r="D141" i="13"/>
  <c r="D161" i="13"/>
  <c r="D46" i="13"/>
  <c r="D62" i="13"/>
  <c r="D116" i="13"/>
  <c r="D136" i="13"/>
  <c r="D156" i="13"/>
  <c r="E42" i="20"/>
  <c r="I42" i="20"/>
  <c r="M42" i="20"/>
  <c r="Q42" i="20"/>
  <c r="J42" i="14"/>
  <c r="K42" i="14"/>
  <c r="P42" i="14"/>
  <c r="N42" i="14"/>
  <c r="I42" i="14"/>
  <c r="M42" i="14"/>
  <c r="Q42" i="14"/>
  <c r="L42" i="14"/>
  <c r="D57" i="13"/>
  <c r="L30" i="6"/>
  <c r="D72" i="6"/>
  <c r="L134" i="6"/>
  <c r="L420" i="24" s="1"/>
  <c r="J15" i="6"/>
  <c r="G92" i="6"/>
  <c r="G373" i="24" s="1"/>
  <c r="H124" i="6"/>
  <c r="H410" i="24" s="1"/>
  <c r="P410" i="24"/>
  <c r="J10" i="6"/>
  <c r="J286" i="24" s="1"/>
  <c r="O45" i="6"/>
  <c r="O326" i="24" s="1"/>
  <c r="P72" i="6"/>
  <c r="E72" i="6"/>
  <c r="G87" i="6"/>
  <c r="G368" i="24" s="1"/>
  <c r="K87" i="6"/>
  <c r="K368" i="24" s="1"/>
  <c r="H102" i="6"/>
  <c r="H388" i="24" s="1"/>
  <c r="P400" i="24"/>
  <c r="D134" i="6"/>
  <c r="L92" i="6"/>
  <c r="L373" i="24" s="1"/>
  <c r="D124" i="6"/>
  <c r="D410" i="24" s="1"/>
  <c r="L124" i="6"/>
  <c r="F53" i="6"/>
  <c r="J53" i="6"/>
  <c r="N53" i="6"/>
  <c r="F60" i="6"/>
  <c r="F341" i="24" s="1"/>
  <c r="N60" i="6"/>
  <c r="N341" i="24" s="1"/>
  <c r="L87" i="6"/>
  <c r="D87" i="6"/>
  <c r="D368" i="24" s="1"/>
  <c r="K92" i="6"/>
  <c r="K373" i="24" s="1"/>
  <c r="Q371" i="24"/>
  <c r="D30" i="6"/>
  <c r="D306" i="24" s="1"/>
  <c r="H30" i="6"/>
  <c r="H306" i="24" s="1"/>
  <c r="P30" i="6"/>
  <c r="P306" i="24" s="1"/>
  <c r="Q324" i="24"/>
  <c r="E114" i="6"/>
  <c r="E400" i="24" s="1"/>
  <c r="I169" i="13"/>
  <c r="K15" i="6"/>
  <c r="E10" i="6"/>
  <c r="E286" i="24" s="1"/>
  <c r="F10" i="6"/>
  <c r="F286" i="24" s="1"/>
  <c r="N10" i="6"/>
  <c r="N286" i="24" s="1"/>
  <c r="P20" i="6"/>
  <c r="K25" i="6"/>
  <c r="K301" i="24" s="1"/>
  <c r="J72" i="6"/>
  <c r="N72" i="6"/>
  <c r="E77" i="6"/>
  <c r="I77" i="6"/>
  <c r="D119" i="6"/>
  <c r="H119" i="6"/>
  <c r="H405" i="24" s="1"/>
  <c r="G129" i="6"/>
  <c r="G415" i="24" s="1"/>
  <c r="O129" i="6"/>
  <c r="O415" i="24" s="1"/>
  <c r="H129" i="6"/>
  <c r="H415" i="24" s="1"/>
  <c r="P415" i="24"/>
  <c r="J169" i="13"/>
  <c r="D25" i="6"/>
  <c r="H25" i="6"/>
  <c r="H301" i="24" s="1"/>
  <c r="O55" i="6"/>
  <c r="O336" i="24" s="1"/>
  <c r="J77" i="6"/>
  <c r="P102" i="6"/>
  <c r="P388" i="24" s="1"/>
  <c r="I102" i="6"/>
  <c r="I388" i="24" s="1"/>
  <c r="Q388" i="24"/>
  <c r="H114" i="6"/>
  <c r="H400" i="24" s="1"/>
  <c r="L114" i="6"/>
  <c r="L400" i="24" s="1"/>
  <c r="N119" i="6"/>
  <c r="N405" i="24" s="1"/>
  <c r="N144" i="6"/>
  <c r="N430" i="24" s="1"/>
  <c r="I25" i="6"/>
  <c r="I301" i="24" s="1"/>
  <c r="F45" i="6"/>
  <c r="F326" i="24" s="1"/>
  <c r="I35" i="6"/>
  <c r="I316" i="24" s="1"/>
  <c r="I55" i="6"/>
  <c r="H72" i="6"/>
  <c r="H37" i="23" s="1"/>
  <c r="L72" i="6"/>
  <c r="N102" i="6"/>
  <c r="N388" i="24" s="1"/>
  <c r="E52" i="6"/>
  <c r="K10" i="6"/>
  <c r="K286" i="24" s="1"/>
  <c r="J20" i="6"/>
  <c r="K30" i="6"/>
  <c r="K306" i="24" s="1"/>
  <c r="E35" i="6"/>
  <c r="E316" i="24" s="1"/>
  <c r="I60" i="6"/>
  <c r="F82" i="6"/>
  <c r="F363" i="24" s="1"/>
  <c r="F119" i="6"/>
  <c r="F405" i="24" s="1"/>
  <c r="J119" i="6"/>
  <c r="J405" i="24" s="1"/>
  <c r="H144" i="6"/>
  <c r="H430" i="24" s="1"/>
  <c r="P144" i="6"/>
  <c r="P430" i="24" s="1"/>
  <c r="G25" i="6"/>
  <c r="G301" i="24" s="1"/>
  <c r="O25" i="6"/>
  <c r="O301" i="24" s="1"/>
  <c r="D35" i="6"/>
  <c r="D316" i="24" s="1"/>
  <c r="L35" i="6"/>
  <c r="L316" i="24" s="1"/>
  <c r="G124" i="6"/>
  <c r="G410" i="24" s="1"/>
  <c r="O124" i="6"/>
  <c r="O410" i="24" s="1"/>
  <c r="L129" i="6"/>
  <c r="G15" i="6"/>
  <c r="O15" i="6"/>
  <c r="M25" i="6"/>
  <c r="M301" i="24" s="1"/>
  <c r="J40" i="6"/>
  <c r="J321" i="24" s="1"/>
  <c r="O77" i="6"/>
  <c r="J82" i="6"/>
  <c r="J363" i="24" s="1"/>
  <c r="H97" i="6"/>
  <c r="H22" i="23" s="1"/>
  <c r="F15" i="6"/>
  <c r="F20" i="6"/>
  <c r="L25" i="6"/>
  <c r="L301" i="24" s="1"/>
  <c r="P25" i="6"/>
  <c r="P301" i="24" s="1"/>
  <c r="E40" i="6"/>
  <c r="E321" i="24" s="1"/>
  <c r="F40" i="6"/>
  <c r="F321" i="24" s="1"/>
  <c r="I45" i="6"/>
  <c r="I326" i="24" s="1"/>
  <c r="Q326" i="24"/>
  <c r="N45" i="6"/>
  <c r="N326" i="24" s="1"/>
  <c r="E60" i="6"/>
  <c r="E341" i="24" s="1"/>
  <c r="I72" i="6"/>
  <c r="M72" i="6"/>
  <c r="M37" i="23" s="1"/>
  <c r="F72" i="6"/>
  <c r="F77" i="6"/>
  <c r="N77" i="6"/>
  <c r="I114" i="6"/>
  <c r="I400" i="24" s="1"/>
  <c r="L119" i="6"/>
  <c r="L405" i="24" s="1"/>
  <c r="P405" i="24"/>
  <c r="J129" i="6"/>
  <c r="J415" i="24" s="1"/>
  <c r="N129" i="6"/>
  <c r="N415" i="24" s="1"/>
  <c r="K129" i="6"/>
  <c r="K415" i="24" s="1"/>
  <c r="N55" i="6"/>
  <c r="N336" i="24" s="1"/>
  <c r="L102" i="6"/>
  <c r="L388" i="24" s="1"/>
  <c r="D92" i="6"/>
  <c r="D373" i="24" s="1"/>
  <c r="M40" i="6"/>
  <c r="M321" i="24" s="1"/>
  <c r="M60" i="6"/>
  <c r="M341" i="24" s="1"/>
  <c r="D102" i="6"/>
  <c r="G134" i="6"/>
  <c r="G420" i="24" s="1"/>
  <c r="O134" i="6"/>
  <c r="O420" i="24" s="1"/>
  <c r="I144" i="6"/>
  <c r="I430" i="24" s="1"/>
  <c r="M5" i="6"/>
  <c r="I10" i="6"/>
  <c r="M10" i="6"/>
  <c r="M286" i="24" s="1"/>
  <c r="P15" i="6"/>
  <c r="G20" i="6"/>
  <c r="K20" i="6"/>
  <c r="O20" i="6"/>
  <c r="G30" i="6"/>
  <c r="G306" i="24" s="1"/>
  <c r="O30" i="6"/>
  <c r="O306" i="24" s="1"/>
  <c r="O40" i="6"/>
  <c r="O321" i="24" s="1"/>
  <c r="J45" i="6"/>
  <c r="J326" i="24" s="1"/>
  <c r="F55" i="6"/>
  <c r="F336" i="24" s="1"/>
  <c r="O60" i="6"/>
  <c r="O341" i="24" s="1"/>
  <c r="M77" i="6"/>
  <c r="K82" i="6"/>
  <c r="K363" i="24" s="1"/>
  <c r="O82" i="6"/>
  <c r="O363" i="24" s="1"/>
  <c r="H87" i="6"/>
  <c r="H368" i="24" s="1"/>
  <c r="P87" i="6"/>
  <c r="P368" i="24" s="1"/>
  <c r="M114" i="6"/>
  <c r="M400" i="24" s="1"/>
  <c r="Q400" i="24"/>
  <c r="D144" i="6"/>
  <c r="D430" i="24" s="1"/>
  <c r="L144" i="6"/>
  <c r="D15" i="6"/>
  <c r="L15" i="6"/>
  <c r="G40" i="6"/>
  <c r="G321" i="24" s="1"/>
  <c r="G60" i="6"/>
  <c r="G341" i="24" s="1"/>
  <c r="K77" i="6"/>
  <c r="E87" i="6"/>
  <c r="E368" i="24" s="1"/>
  <c r="K102" i="6"/>
  <c r="K388" i="24" s="1"/>
  <c r="J114" i="6"/>
  <c r="J400" i="24" s="1"/>
  <c r="I119" i="6"/>
  <c r="I405" i="24" s="1"/>
  <c r="Q405" i="24"/>
  <c r="H10" i="6"/>
  <c r="H286" i="24" s="1"/>
  <c r="P10" i="6"/>
  <c r="P286" i="24" s="1"/>
  <c r="F30" i="6"/>
  <c r="F306" i="24" s="1"/>
  <c r="J30" i="6"/>
  <c r="J306" i="24" s="1"/>
  <c r="G35" i="6"/>
  <c r="G316" i="24" s="1"/>
  <c r="H45" i="6"/>
  <c r="H326" i="24" s="1"/>
  <c r="P45" i="6"/>
  <c r="P326" i="24" s="1"/>
  <c r="M45" i="6"/>
  <c r="M326" i="24" s="1"/>
  <c r="D55" i="6"/>
  <c r="D336" i="24" s="1"/>
  <c r="H55" i="6"/>
  <c r="H336" i="24" s="1"/>
  <c r="L55" i="6"/>
  <c r="L336" i="24" s="1"/>
  <c r="P55" i="6"/>
  <c r="P336" i="24" s="1"/>
  <c r="M55" i="6"/>
  <c r="M336" i="24" s="1"/>
  <c r="F92" i="6"/>
  <c r="F373" i="24" s="1"/>
  <c r="J92" i="6"/>
  <c r="J373" i="24" s="1"/>
  <c r="F102" i="6"/>
  <c r="F388" i="24" s="1"/>
  <c r="J102" i="6"/>
  <c r="J388" i="24" s="1"/>
  <c r="F124" i="6"/>
  <c r="F410" i="24" s="1"/>
  <c r="J124" i="6"/>
  <c r="J410" i="24" s="1"/>
  <c r="E129" i="6"/>
  <c r="E415" i="24" s="1"/>
  <c r="I129" i="6"/>
  <c r="I415" i="24" s="1"/>
  <c r="M129" i="6"/>
  <c r="M415" i="24" s="1"/>
  <c r="E144" i="6"/>
  <c r="E430" i="24" s="1"/>
  <c r="M144" i="6"/>
  <c r="M430" i="24" s="1"/>
  <c r="O51" i="6"/>
  <c r="I20" i="6"/>
  <c r="Q296" i="24"/>
  <c r="N20" i="6"/>
  <c r="I30" i="6"/>
  <c r="I306" i="24" s="1"/>
  <c r="F35" i="6"/>
  <c r="F316" i="24" s="1"/>
  <c r="N40" i="6"/>
  <c r="N321" i="24" s="1"/>
  <c r="G45" i="6"/>
  <c r="G326" i="24" s="1"/>
  <c r="K45" i="6"/>
  <c r="K326" i="24" s="1"/>
  <c r="G55" i="6"/>
  <c r="G336" i="24" s="1"/>
  <c r="K55" i="6"/>
  <c r="K336" i="24" s="1"/>
  <c r="G72" i="6"/>
  <c r="G37" i="23" s="1"/>
  <c r="K72" i="6"/>
  <c r="O72" i="6"/>
  <c r="I82" i="6"/>
  <c r="Q363" i="24"/>
  <c r="N82" i="6"/>
  <c r="N363" i="24" s="1"/>
  <c r="E92" i="6"/>
  <c r="E373" i="24" s="1"/>
  <c r="I92" i="6"/>
  <c r="I373" i="24" s="1"/>
  <c r="I124" i="6"/>
  <c r="I410" i="24" s="1"/>
  <c r="F134" i="6"/>
  <c r="F420" i="24" s="1"/>
  <c r="J134" i="6"/>
  <c r="J420" i="24" s="1"/>
  <c r="K144" i="6"/>
  <c r="K430" i="24" s="1"/>
  <c r="O144" i="6"/>
  <c r="O430" i="24" s="1"/>
  <c r="H15" i="6"/>
  <c r="K40" i="6"/>
  <c r="K321" i="24" s="1"/>
  <c r="K60" i="6"/>
  <c r="K341" i="24" s="1"/>
  <c r="G77" i="6"/>
  <c r="I87" i="6"/>
  <c r="I368" i="24" s="1"/>
  <c r="I97" i="6"/>
  <c r="I22" i="23" s="1"/>
  <c r="G102" i="6"/>
  <c r="G388" i="24" s="1"/>
  <c r="O102" i="6"/>
  <c r="O388" i="24" s="1"/>
  <c r="F114" i="6"/>
  <c r="F400" i="24" s="1"/>
  <c r="N114" i="6"/>
  <c r="N400" i="24" s="1"/>
  <c r="E119" i="6"/>
  <c r="E405" i="24" s="1"/>
  <c r="M119" i="6"/>
  <c r="M405" i="24" s="1"/>
  <c r="L10" i="6"/>
  <c r="L286" i="24" s="1"/>
  <c r="N30" i="6"/>
  <c r="N306" i="24" s="1"/>
  <c r="K35" i="6"/>
  <c r="K316" i="24" s="1"/>
  <c r="E45" i="6"/>
  <c r="E326" i="24" s="1"/>
  <c r="D45" i="6"/>
  <c r="L45" i="6"/>
  <c r="L326" i="24" s="1"/>
  <c r="I15" i="6"/>
  <c r="N15" i="6"/>
  <c r="D20" i="6"/>
  <c r="H20" i="6"/>
  <c r="L20" i="6"/>
  <c r="E25" i="6"/>
  <c r="E301" i="24" s="1"/>
  <c r="F25" i="6"/>
  <c r="F301" i="24" s="1"/>
  <c r="J25" i="6"/>
  <c r="J301" i="24" s="1"/>
  <c r="N25" i="6"/>
  <c r="N301" i="24" s="1"/>
  <c r="P40" i="6"/>
  <c r="P321" i="24" s="1"/>
  <c r="E55" i="6"/>
  <c r="E336" i="24" s="1"/>
  <c r="D60" i="6"/>
  <c r="D341" i="24" s="1"/>
  <c r="H60" i="6"/>
  <c r="H341" i="24" s="1"/>
  <c r="L60" i="6"/>
  <c r="L341" i="24" s="1"/>
  <c r="P60" i="6"/>
  <c r="P341" i="24" s="1"/>
  <c r="H77" i="6"/>
  <c r="P77" i="6"/>
  <c r="D82" i="6"/>
  <c r="D363" i="24" s="1"/>
  <c r="H82" i="6"/>
  <c r="H363" i="24" s="1"/>
  <c r="L82" i="6"/>
  <c r="L363" i="24" s="1"/>
  <c r="F87" i="6"/>
  <c r="F368" i="24" s="1"/>
  <c r="J87" i="6"/>
  <c r="J368" i="24" s="1"/>
  <c r="F97" i="6"/>
  <c r="F22" i="23" s="1"/>
  <c r="J97" i="6"/>
  <c r="J22" i="23" s="1"/>
  <c r="E134" i="6"/>
  <c r="E420" i="24" s="1"/>
  <c r="I134" i="6"/>
  <c r="I420" i="24" s="1"/>
  <c r="J144" i="6"/>
  <c r="J430" i="24" s="1"/>
  <c r="E51" i="6"/>
  <c r="D169" i="13"/>
  <c r="H169" i="13"/>
  <c r="E169" i="13"/>
  <c r="F169" i="13"/>
  <c r="G169" i="13"/>
  <c r="K169" i="13"/>
  <c r="G144" i="6"/>
  <c r="G430" i="24" s="1"/>
  <c r="F144" i="6"/>
  <c r="F430" i="24" s="1"/>
  <c r="N134" i="6"/>
  <c r="N420" i="24" s="1"/>
  <c r="E124" i="6"/>
  <c r="E410" i="24" s="1"/>
  <c r="M124" i="6"/>
  <c r="M410" i="24" s="1"/>
  <c r="M134" i="6"/>
  <c r="M420" i="24" s="1"/>
  <c r="N124" i="6"/>
  <c r="N410" i="24" s="1"/>
  <c r="L77" i="6"/>
  <c r="M87" i="6"/>
  <c r="M368" i="24" s="1"/>
  <c r="E82" i="6"/>
  <c r="E363" i="24" s="1"/>
  <c r="M82" i="6"/>
  <c r="M363" i="24" s="1"/>
  <c r="N87" i="6"/>
  <c r="N368" i="24" s="1"/>
  <c r="E97" i="6"/>
  <c r="E22" i="23" s="1"/>
  <c r="M102" i="6"/>
  <c r="M388" i="24" s="1"/>
  <c r="D40" i="6"/>
  <c r="H40" i="6"/>
  <c r="H321" i="24" s="1"/>
  <c r="L40" i="6"/>
  <c r="L321" i="24" s="1"/>
  <c r="M30" i="6"/>
  <c r="M306" i="24" s="1"/>
  <c r="E30" i="6"/>
  <c r="E306" i="24" s="1"/>
  <c r="J35" i="6"/>
  <c r="J316" i="24" s="1"/>
  <c r="M20" i="6"/>
  <c r="E20" i="6"/>
  <c r="E15" i="6"/>
  <c r="M15" i="6"/>
  <c r="D10" i="6"/>
  <c r="D286" i="24" s="1"/>
  <c r="G39" i="16"/>
  <c r="H39" i="16"/>
  <c r="P39" i="16"/>
  <c r="F142" i="6"/>
  <c r="J142" i="6"/>
  <c r="N142" i="6"/>
  <c r="M142" i="6"/>
  <c r="E142" i="6"/>
  <c r="I142" i="6"/>
  <c r="H142" i="6"/>
  <c r="L142" i="6"/>
  <c r="P142" i="6"/>
  <c r="G142" i="6"/>
  <c r="K142" i="6"/>
  <c r="O142" i="6"/>
  <c r="H110" i="6"/>
  <c r="H396" i="24" s="1"/>
  <c r="P110" i="6"/>
  <c r="P396" i="24" s="1"/>
  <c r="E110" i="6"/>
  <c r="E396" i="24" s="1"/>
  <c r="I110" i="6"/>
  <c r="I396" i="24" s="1"/>
  <c r="F110" i="6"/>
  <c r="F396" i="24" s="1"/>
  <c r="J110" i="6"/>
  <c r="J396" i="24" s="1"/>
  <c r="G110" i="6"/>
  <c r="G396" i="24" s="1"/>
  <c r="K110" i="6"/>
  <c r="K396" i="24" s="1"/>
  <c r="M140" i="6"/>
  <c r="M108" i="6"/>
  <c r="M394" i="24" s="1"/>
  <c r="M109" i="6"/>
  <c r="M395" i="24" s="1"/>
  <c r="F39" i="16"/>
  <c r="E39" i="16"/>
  <c r="Q39" i="16"/>
  <c r="M8" i="15"/>
  <c r="E8" i="15"/>
  <c r="D8" i="15"/>
  <c r="E17" i="15"/>
  <c r="F17" i="15"/>
  <c r="F19" i="15" s="1"/>
  <c r="F21" i="15" s="1"/>
  <c r="P8" i="15"/>
  <c r="D18" i="1"/>
  <c r="D33" i="1" s="1"/>
  <c r="D48" i="1" s="1"/>
  <c r="D58" i="1" s="1"/>
  <c r="G8" i="15"/>
  <c r="K8" i="15"/>
  <c r="O8" i="15"/>
  <c r="M141" i="6"/>
  <c r="M7" i="1"/>
  <c r="M6" i="1"/>
  <c r="M210" i="24" s="1"/>
  <c r="M7" i="12"/>
  <c r="M7" i="4"/>
  <c r="M10" i="4" s="1"/>
  <c r="M13" i="4" s="1"/>
  <c r="M15" i="4" s="1"/>
  <c r="M36" i="7"/>
  <c r="M27" i="7"/>
  <c r="M14" i="7"/>
  <c r="M17" i="7" s="1"/>
  <c r="M36" i="10"/>
  <c r="M27" i="10"/>
  <c r="M14" i="10"/>
  <c r="M17" i="10" s="1"/>
  <c r="Q7" i="1"/>
  <c r="Q6" i="1"/>
  <c r="Q210" i="24" s="1"/>
  <c r="Q7" i="12"/>
  <c r="Q7" i="4"/>
  <c r="Q10" i="4" s="1"/>
  <c r="Q13" i="4" s="1"/>
  <c r="Q15" i="4" s="1"/>
  <c r="Q36" i="7"/>
  <c r="Q38" i="7" s="1"/>
  <c r="Q27" i="7"/>
  <c r="Q14" i="7"/>
  <c r="Q17" i="7" s="1"/>
  <c r="Q36" i="10"/>
  <c r="Q38" i="10" s="1"/>
  <c r="Q27" i="10"/>
  <c r="Q14" i="10"/>
  <c r="Q17" i="10" s="1"/>
  <c r="Q283" i="24"/>
  <c r="Q313" i="24" s="1"/>
  <c r="Q282" i="24"/>
  <c r="Q105" i="24" s="1"/>
  <c r="L7" i="6"/>
  <c r="L283" i="24" s="1"/>
  <c r="L313" i="24" s="1"/>
  <c r="K7" i="6"/>
  <c r="K283" i="24" s="1"/>
  <c r="K313" i="24" s="1"/>
  <c r="J7" i="6"/>
  <c r="J283" i="24" s="1"/>
  <c r="J313" i="24" s="1"/>
  <c r="I7" i="6"/>
  <c r="I283" i="24" s="1"/>
  <c r="P7" i="6"/>
  <c r="O7" i="6"/>
  <c r="N7" i="6"/>
  <c r="G7" i="6"/>
  <c r="F7" i="6"/>
  <c r="E7" i="6"/>
  <c r="D7" i="6"/>
  <c r="D162" i="6" s="1"/>
  <c r="L6" i="6"/>
  <c r="L282" i="24" s="1"/>
  <c r="L105" i="24" s="1"/>
  <c r="K6" i="6"/>
  <c r="K282" i="24" s="1"/>
  <c r="K105" i="24" s="1"/>
  <c r="J6" i="6"/>
  <c r="J282" i="24" s="1"/>
  <c r="J105" i="24" s="1"/>
  <c r="I6" i="6"/>
  <c r="I282" i="24" s="1"/>
  <c r="P6" i="6"/>
  <c r="O6" i="6"/>
  <c r="N6" i="6"/>
  <c r="G6" i="6"/>
  <c r="F6" i="6"/>
  <c r="E6" i="6"/>
  <c r="E5" i="6" s="1"/>
  <c r="D6" i="6"/>
  <c r="D161" i="6" s="1"/>
  <c r="G18" i="14"/>
  <c r="G63" i="13" s="1"/>
  <c r="G62" i="13" s="1"/>
  <c r="F18" i="14"/>
  <c r="F63" i="13" s="1"/>
  <c r="F62" i="13" s="1"/>
  <c r="E18" i="14"/>
  <c r="E63" i="13" s="1"/>
  <c r="E62" i="13" s="1"/>
  <c r="G17" i="14"/>
  <c r="G58" i="13" s="1"/>
  <c r="G57" i="13" s="1"/>
  <c r="F17" i="14"/>
  <c r="F58" i="13" s="1"/>
  <c r="F57" i="13" s="1"/>
  <c r="E17" i="14"/>
  <c r="E58" i="13" s="1"/>
  <c r="G14" i="14"/>
  <c r="F14" i="14"/>
  <c r="E14" i="14"/>
  <c r="G13" i="14"/>
  <c r="G42" i="13" s="1"/>
  <c r="G41" i="13" s="1"/>
  <c r="F13" i="14"/>
  <c r="F42" i="13" s="1"/>
  <c r="F41" i="13" s="1"/>
  <c r="E13" i="14"/>
  <c r="E42" i="13" s="1"/>
  <c r="E41" i="13" s="1"/>
  <c r="G12" i="14"/>
  <c r="F12" i="14"/>
  <c r="E12" i="14"/>
  <c r="G9" i="14"/>
  <c r="G26" i="13" s="1"/>
  <c r="G25" i="13" s="1"/>
  <c r="F9" i="14"/>
  <c r="F26" i="13" s="1"/>
  <c r="F25" i="13" s="1"/>
  <c r="E9" i="14"/>
  <c r="E26" i="13" s="1"/>
  <c r="E25" i="13" s="1"/>
  <c r="D9" i="14"/>
  <c r="D26" i="13" s="1"/>
  <c r="G7" i="14"/>
  <c r="G16" i="13" s="1"/>
  <c r="G15" i="13" s="1"/>
  <c r="F7" i="14"/>
  <c r="F16" i="13" s="1"/>
  <c r="F15" i="13" s="1"/>
  <c r="E7" i="14"/>
  <c r="E16" i="13" s="1"/>
  <c r="E15" i="13" s="1"/>
  <c r="D7" i="14"/>
  <c r="D16" i="13" s="1"/>
  <c r="G6" i="14"/>
  <c r="G11" i="13" s="1"/>
  <c r="G10" i="13" s="1"/>
  <c r="F6" i="14"/>
  <c r="F11" i="13" s="1"/>
  <c r="F10" i="13" s="1"/>
  <c r="E6" i="14"/>
  <c r="D141" i="1"/>
  <c r="L7" i="1"/>
  <c r="K7" i="1"/>
  <c r="J7" i="1"/>
  <c r="I7" i="1"/>
  <c r="P7" i="1"/>
  <c r="O7" i="1"/>
  <c r="N7" i="1"/>
  <c r="H7" i="1"/>
  <c r="G7" i="1"/>
  <c r="F7" i="1"/>
  <c r="E7" i="1"/>
  <c r="D7" i="1"/>
  <c r="L6" i="1"/>
  <c r="L210" i="24" s="1"/>
  <c r="K6" i="1"/>
  <c r="K210" i="24" s="1"/>
  <c r="J6" i="1"/>
  <c r="J210" i="24" s="1"/>
  <c r="I6" i="1"/>
  <c r="I210" i="24" s="1"/>
  <c r="P6" i="1"/>
  <c r="P210" i="24" s="1"/>
  <c r="O6" i="1"/>
  <c r="O210" i="24" s="1"/>
  <c r="O7" i="24" s="1"/>
  <c r="N6" i="1"/>
  <c r="N210" i="24" s="1"/>
  <c r="N7" i="24" s="1"/>
  <c r="G6" i="1"/>
  <c r="G210" i="24" s="1"/>
  <c r="F6" i="1"/>
  <c r="F210" i="24" s="1"/>
  <c r="F7" i="24" s="1"/>
  <c r="E6" i="1"/>
  <c r="D6" i="1"/>
  <c r="H42" i="14"/>
  <c r="G42" i="14"/>
  <c r="F42" i="14"/>
  <c r="E42" i="14"/>
  <c r="D42" i="14"/>
  <c r="L36" i="10"/>
  <c r="K36" i="10"/>
  <c r="J36" i="10"/>
  <c r="J38" i="10" s="1"/>
  <c r="I36" i="10"/>
  <c r="I38" i="10" s="1"/>
  <c r="P36" i="10"/>
  <c r="P38" i="10" s="1"/>
  <c r="O36" i="10"/>
  <c r="N36" i="10"/>
  <c r="N38" i="10" s="1"/>
  <c r="G36" i="10"/>
  <c r="G38" i="10" s="1"/>
  <c r="F36" i="10"/>
  <c r="E36" i="10"/>
  <c r="E38" i="10" s="1"/>
  <c r="D36" i="10"/>
  <c r="D38" i="10" s="1"/>
  <c r="L27" i="10"/>
  <c r="K27" i="10"/>
  <c r="J27" i="10"/>
  <c r="I27" i="10"/>
  <c r="P27" i="10"/>
  <c r="O27" i="10"/>
  <c r="N27" i="10"/>
  <c r="G27" i="10"/>
  <c r="F27" i="10"/>
  <c r="E27" i="10"/>
  <c r="D27" i="10"/>
  <c r="L14" i="10"/>
  <c r="L17" i="10" s="1"/>
  <c r="K14" i="10"/>
  <c r="K17" i="10" s="1"/>
  <c r="J14" i="10"/>
  <c r="J17" i="10" s="1"/>
  <c r="I14" i="10"/>
  <c r="I17" i="10" s="1"/>
  <c r="P14" i="10"/>
  <c r="P17" i="10" s="1"/>
  <c r="O14" i="10"/>
  <c r="O17" i="10" s="1"/>
  <c r="N14" i="10"/>
  <c r="N17" i="10" s="1"/>
  <c r="G14" i="10"/>
  <c r="G17" i="10" s="1"/>
  <c r="F14" i="10"/>
  <c r="F17" i="10" s="1"/>
  <c r="E14" i="10"/>
  <c r="E17" i="10" s="1"/>
  <c r="D14" i="10"/>
  <c r="D17" i="10" s="1"/>
  <c r="L36" i="7"/>
  <c r="L38" i="7" s="1"/>
  <c r="K36" i="7"/>
  <c r="J36" i="7"/>
  <c r="I36" i="7"/>
  <c r="I38" i="7" s="1"/>
  <c r="P36" i="7"/>
  <c r="P38" i="7" s="1"/>
  <c r="O36" i="7"/>
  <c r="N36" i="7"/>
  <c r="G36" i="7"/>
  <c r="F36" i="7"/>
  <c r="E36" i="7"/>
  <c r="L27" i="7"/>
  <c r="K27" i="7"/>
  <c r="J27" i="7"/>
  <c r="I27" i="7"/>
  <c r="P27" i="7"/>
  <c r="O27" i="7"/>
  <c r="N27" i="7"/>
  <c r="G27" i="7"/>
  <c r="F27" i="7"/>
  <c r="E27" i="7"/>
  <c r="D27" i="7"/>
  <c r="L14" i="7"/>
  <c r="L17" i="7" s="1"/>
  <c r="P14" i="7"/>
  <c r="P17" i="7" s="1"/>
  <c r="O14" i="7"/>
  <c r="O17" i="7" s="1"/>
  <c r="N14" i="7"/>
  <c r="N17" i="7" s="1"/>
  <c r="G14" i="7"/>
  <c r="G17" i="7" s="1"/>
  <c r="F14" i="7"/>
  <c r="F17" i="7" s="1"/>
  <c r="E14" i="7"/>
  <c r="E17" i="7" s="1"/>
  <c r="D14" i="7"/>
  <c r="D17" i="7" s="1"/>
  <c r="H12" i="14"/>
  <c r="K7" i="4"/>
  <c r="K10" i="4" s="1"/>
  <c r="K13" i="4" s="1"/>
  <c r="K15" i="4" s="1"/>
  <c r="J7" i="4"/>
  <c r="J10" i="4" s="1"/>
  <c r="J13" i="4" s="1"/>
  <c r="J15" i="4" s="1"/>
  <c r="I7" i="4"/>
  <c r="I10" i="4" s="1"/>
  <c r="I13" i="4" s="1"/>
  <c r="I15" i="4" s="1"/>
  <c r="P7" i="4"/>
  <c r="P10" i="4" s="1"/>
  <c r="P13" i="4" s="1"/>
  <c r="P15" i="4" s="1"/>
  <c r="O7" i="4"/>
  <c r="O10" i="4" s="1"/>
  <c r="O13" i="4" s="1"/>
  <c r="O15" i="4" s="1"/>
  <c r="N7" i="4"/>
  <c r="N10" i="4" s="1"/>
  <c r="N13" i="4" s="1"/>
  <c r="N15" i="4" s="1"/>
  <c r="G7" i="4"/>
  <c r="F7" i="4"/>
  <c r="E7" i="4"/>
  <c r="D7" i="4"/>
  <c r="H9" i="14"/>
  <c r="H26" i="13" s="1"/>
  <c r="H25" i="13" s="1"/>
  <c r="L5" i="14"/>
  <c r="K7" i="12"/>
  <c r="K10" i="12" s="1"/>
  <c r="K13" i="12" s="1"/>
  <c r="K15" i="12" s="1"/>
  <c r="J7" i="12"/>
  <c r="I7" i="12"/>
  <c r="P7" i="12"/>
  <c r="P10" i="12" s="1"/>
  <c r="P13" i="12" s="1"/>
  <c r="P15" i="12" s="1"/>
  <c r="O7" i="12"/>
  <c r="O10" i="12" s="1"/>
  <c r="O13" i="12" s="1"/>
  <c r="O15" i="12" s="1"/>
  <c r="N7" i="12"/>
  <c r="G7" i="12"/>
  <c r="F7" i="12"/>
  <c r="E7" i="12"/>
  <c r="D7" i="12"/>
  <c r="H6" i="1"/>
  <c r="H210" i="24" s="1"/>
  <c r="E8" i="12" l="1"/>
  <c r="E10" i="12"/>
  <c r="E13" i="12" s="1"/>
  <c r="E15" i="12" s="1"/>
  <c r="F10" i="12"/>
  <c r="F13" i="12" s="1"/>
  <c r="F15" i="12" s="1"/>
  <c r="F17" i="12" s="1"/>
  <c r="F19" i="12" s="1"/>
  <c r="F21" i="12" s="1"/>
  <c r="F5" i="14" s="1"/>
  <c r="G10" i="12"/>
  <c r="G13" i="12" s="1"/>
  <c r="G15" i="12" s="1"/>
  <c r="G17" i="12" s="1"/>
  <c r="G19" i="12" s="1"/>
  <c r="G21" i="12" s="1"/>
  <c r="G5" i="14" s="1"/>
  <c r="Q8" i="12"/>
  <c r="Q10" i="12"/>
  <c r="Q13" i="12" s="1"/>
  <c r="Q15" i="12" s="1"/>
  <c r="D10" i="4"/>
  <c r="D13" i="4" s="1"/>
  <c r="D15" i="4" s="1"/>
  <c r="D17" i="4" s="1"/>
  <c r="D19" i="4" s="1"/>
  <c r="D21" i="4" s="1"/>
  <c r="D5" i="20" s="1"/>
  <c r="E10" i="4"/>
  <c r="E13" i="4" s="1"/>
  <c r="E15" i="4" s="1"/>
  <c r="E17" i="4" s="1"/>
  <c r="E19" i="4" s="1"/>
  <c r="E21" i="4" s="1"/>
  <c r="E5" i="20" s="1"/>
  <c r="M8" i="12"/>
  <c r="M10" i="12"/>
  <c r="M13" i="12" s="1"/>
  <c r="M15" i="12" s="1"/>
  <c r="N8" i="12"/>
  <c r="N10" i="12"/>
  <c r="N13" i="12" s="1"/>
  <c r="N15" i="12" s="1"/>
  <c r="F10" i="4"/>
  <c r="F13" i="4" s="1"/>
  <c r="F15" i="4" s="1"/>
  <c r="F17" i="4" s="1"/>
  <c r="F19" i="4" s="1"/>
  <c r="F21" i="4" s="1"/>
  <c r="F5" i="20" s="1"/>
  <c r="G10" i="4"/>
  <c r="G13" i="4" s="1"/>
  <c r="G15" i="4" s="1"/>
  <c r="G17" i="4" s="1"/>
  <c r="G19" i="4" s="1"/>
  <c r="G21" i="4" s="1"/>
  <c r="G5" i="20" s="1"/>
  <c r="I8" i="12"/>
  <c r="I10" i="12"/>
  <c r="I13" i="12" s="1"/>
  <c r="I15" i="12" s="1"/>
  <c r="D10" i="12"/>
  <c r="D13" i="12" s="1"/>
  <c r="D15" i="12" s="1"/>
  <c r="D17" i="12" s="1"/>
  <c r="D19" i="12" s="1"/>
  <c r="D21" i="12" s="1"/>
  <c r="D5" i="14" s="1"/>
  <c r="J8" i="12"/>
  <c r="J10" i="12"/>
  <c r="J13" i="12" s="1"/>
  <c r="J15" i="12" s="1"/>
  <c r="L222" i="24"/>
  <c r="L33" i="1"/>
  <c r="L48" i="1" s="1"/>
  <c r="L58" i="1" s="1"/>
  <c r="N222" i="24"/>
  <c r="N33" i="1"/>
  <c r="N48" i="1" s="1"/>
  <c r="N58" i="1" s="1"/>
  <c r="F222" i="24"/>
  <c r="F33" i="1"/>
  <c r="F48" i="1" s="1"/>
  <c r="F58" i="1" s="1"/>
  <c r="P222" i="24"/>
  <c r="P33" i="1"/>
  <c r="P48" i="1" s="1"/>
  <c r="P58" i="1" s="1"/>
  <c r="K222" i="24"/>
  <c r="K33" i="1"/>
  <c r="K48" i="1" s="1"/>
  <c r="K58" i="1" s="1"/>
  <c r="H222" i="24"/>
  <c r="H33" i="1"/>
  <c r="H48" i="1" s="1"/>
  <c r="H58" i="1" s="1"/>
  <c r="J222" i="24"/>
  <c r="J33" i="1"/>
  <c r="J48" i="1" s="1"/>
  <c r="J58" i="1" s="1"/>
  <c r="O222" i="24"/>
  <c r="O33" i="1"/>
  <c r="O48" i="1" s="1"/>
  <c r="O58" i="1" s="1"/>
  <c r="G222" i="24"/>
  <c r="G33" i="1"/>
  <c r="G48" i="1" s="1"/>
  <c r="G58" i="1" s="1"/>
  <c r="Q222" i="24"/>
  <c r="Q33" i="1"/>
  <c r="Q48" i="1" s="1"/>
  <c r="Q58" i="1" s="1"/>
  <c r="M222" i="24"/>
  <c r="M33" i="1"/>
  <c r="M48" i="1" s="1"/>
  <c r="M58" i="1" s="1"/>
  <c r="I222" i="24"/>
  <c r="I33" i="1"/>
  <c r="I48" i="1" s="1"/>
  <c r="I58" i="1" s="1"/>
  <c r="E222" i="24"/>
  <c r="E33" i="1"/>
  <c r="E48" i="1" s="1"/>
  <c r="E58" i="1" s="1"/>
  <c r="E210" i="24"/>
  <c r="E7" i="24" s="1"/>
  <c r="E5" i="1"/>
  <c r="M312" i="24"/>
  <c r="M74" i="24" s="1"/>
  <c r="E51" i="13"/>
  <c r="C51" i="13" s="1"/>
  <c r="D15" i="13"/>
  <c r="D25" i="13"/>
  <c r="C25" i="13" s="1"/>
  <c r="C26" i="13"/>
  <c r="D380" i="24"/>
  <c r="M313" i="24"/>
  <c r="M75" i="24" s="1"/>
  <c r="O314" i="24"/>
  <c r="O81" i="24" s="1"/>
  <c r="H358" i="24"/>
  <c r="H47" i="24"/>
  <c r="F358" i="24"/>
  <c r="F47" i="24"/>
  <c r="E358" i="24"/>
  <c r="E47" i="24"/>
  <c r="M358" i="24"/>
  <c r="P358" i="24"/>
  <c r="K358" i="24"/>
  <c r="O358" i="24"/>
  <c r="J358" i="24"/>
  <c r="G358" i="24"/>
  <c r="G47" i="24"/>
  <c r="N358" i="24"/>
  <c r="I358" i="24"/>
  <c r="F291" i="24"/>
  <c r="I291" i="24"/>
  <c r="D291" i="24"/>
  <c r="G291" i="24"/>
  <c r="K291" i="24"/>
  <c r="M291" i="24"/>
  <c r="H291" i="24"/>
  <c r="E291" i="24"/>
  <c r="N291" i="24"/>
  <c r="P291" i="24"/>
  <c r="O291" i="24"/>
  <c r="J291" i="24"/>
  <c r="G296" i="24"/>
  <c r="G37" i="24"/>
  <c r="E296" i="24"/>
  <c r="E37" i="24"/>
  <c r="O296" i="24"/>
  <c r="F296" i="24"/>
  <c r="F37" i="24"/>
  <c r="J296" i="24"/>
  <c r="P296" i="24"/>
  <c r="D296" i="24"/>
  <c r="D37" i="24"/>
  <c r="M296" i="24"/>
  <c r="H296" i="24"/>
  <c r="H37" i="24"/>
  <c r="I296" i="24"/>
  <c r="K296" i="24"/>
  <c r="N296" i="24"/>
  <c r="N314" i="24"/>
  <c r="N76" i="24" s="1"/>
  <c r="E94" i="13"/>
  <c r="C94" i="13" s="1"/>
  <c r="E110" i="13"/>
  <c r="E109" i="13" s="1"/>
  <c r="C75" i="13"/>
  <c r="E11" i="13"/>
  <c r="E10" i="13" s="1"/>
  <c r="DC10" i="29"/>
  <c r="DD10" i="29"/>
  <c r="H107" i="24"/>
  <c r="E107" i="24"/>
  <c r="E43" i="16"/>
  <c r="Q43" i="16"/>
  <c r="H43" i="16"/>
  <c r="P43" i="16"/>
  <c r="F43" i="16"/>
  <c r="G43" i="16"/>
  <c r="P107" i="24"/>
  <c r="D314" i="24"/>
  <c r="M314" i="24"/>
  <c r="M76" i="24" s="1"/>
  <c r="F282" i="24"/>
  <c r="F105" i="24" s="1"/>
  <c r="F161" i="6"/>
  <c r="P282" i="24"/>
  <c r="P105" i="24" s="1"/>
  <c r="P161" i="6"/>
  <c r="E283" i="24"/>
  <c r="E313" i="24" s="1"/>
  <c r="E80" i="24" s="1"/>
  <c r="E162" i="6"/>
  <c r="O283" i="24"/>
  <c r="O313" i="24" s="1"/>
  <c r="O75" i="24" s="1"/>
  <c r="O162" i="6"/>
  <c r="E282" i="24"/>
  <c r="E105" i="24" s="1"/>
  <c r="E161" i="6"/>
  <c r="O282" i="24"/>
  <c r="O105" i="24" s="1"/>
  <c r="O161" i="6"/>
  <c r="N283" i="24"/>
  <c r="N313" i="24" s="1"/>
  <c r="N121" i="24" s="1"/>
  <c r="N162" i="6"/>
  <c r="N282" i="24"/>
  <c r="N105" i="24" s="1"/>
  <c r="N161" i="6"/>
  <c r="G283" i="24"/>
  <c r="G313" i="24" s="1"/>
  <c r="G121" i="24" s="1"/>
  <c r="G162" i="6"/>
  <c r="G282" i="24"/>
  <c r="G105" i="24" s="1"/>
  <c r="G161" i="6"/>
  <c r="F283" i="24"/>
  <c r="F313" i="24" s="1"/>
  <c r="F80" i="24" s="1"/>
  <c r="F162" i="6"/>
  <c r="P283" i="24"/>
  <c r="P313" i="24" s="1"/>
  <c r="P75" i="24" s="1"/>
  <c r="P162" i="6"/>
  <c r="G107" i="24"/>
  <c r="F107" i="24"/>
  <c r="M281" i="24"/>
  <c r="M160" i="6"/>
  <c r="I314" i="24"/>
  <c r="D283" i="24"/>
  <c r="D313" i="24" s="1"/>
  <c r="D282" i="24"/>
  <c r="D105" i="24" s="1"/>
  <c r="D379" i="24"/>
  <c r="DC9" i="29"/>
  <c r="DC8" i="29"/>
  <c r="CY29" i="29"/>
  <c r="D301" i="24"/>
  <c r="C25" i="6"/>
  <c r="D420" i="24"/>
  <c r="C134" i="6"/>
  <c r="D321" i="24"/>
  <c r="C40" i="6"/>
  <c r="D388" i="24"/>
  <c r="C102" i="6"/>
  <c r="D334" i="24"/>
  <c r="C53" i="6"/>
  <c r="D400" i="24"/>
  <c r="C114" i="6"/>
  <c r="D332" i="24"/>
  <c r="D333" i="24"/>
  <c r="D326" i="24"/>
  <c r="C45" i="6"/>
  <c r="I381" i="24"/>
  <c r="L106" i="24"/>
  <c r="L430" i="24"/>
  <c r="C144" i="6"/>
  <c r="L415" i="24"/>
  <c r="L410" i="24"/>
  <c r="C124" i="6"/>
  <c r="I341" i="24"/>
  <c r="C60" i="6"/>
  <c r="I286" i="24"/>
  <c r="I336" i="24"/>
  <c r="C55" i="6"/>
  <c r="I62" i="13"/>
  <c r="I379" i="24"/>
  <c r="I105" i="24"/>
  <c r="I363" i="24"/>
  <c r="C82" i="6"/>
  <c r="I380" i="24"/>
  <c r="I313" i="24"/>
  <c r="L306" i="24"/>
  <c r="C30" i="6"/>
  <c r="L368" i="24"/>
  <c r="C87" i="6"/>
  <c r="L358" i="24"/>
  <c r="L291" i="24"/>
  <c r="C15" i="6"/>
  <c r="L296" i="24"/>
  <c r="C20" i="6"/>
  <c r="BD6" i="29"/>
  <c r="D405" i="24"/>
  <c r="C119" i="6"/>
  <c r="K106" i="24"/>
  <c r="C156" i="13"/>
  <c r="C146" i="13"/>
  <c r="C161" i="13"/>
  <c r="C151" i="13"/>
  <c r="C79" i="13"/>
  <c r="C126" i="13"/>
  <c r="C89" i="13"/>
  <c r="C20" i="13"/>
  <c r="C141" i="13"/>
  <c r="C84" i="13"/>
  <c r="C136" i="13"/>
  <c r="C172" i="13"/>
  <c r="C131" i="13"/>
  <c r="D9" i="24"/>
  <c r="D210" i="24"/>
  <c r="D7" i="24" s="1"/>
  <c r="C6" i="1"/>
  <c r="D211" i="24"/>
  <c r="D8" i="24" s="1"/>
  <c r="C7" i="1"/>
  <c r="P17" i="15"/>
  <c r="P19" i="15" s="1"/>
  <c r="P21" i="15" s="1"/>
  <c r="P5" i="22" s="1"/>
  <c r="P8" i="13" s="1"/>
  <c r="P70" i="13" s="1"/>
  <c r="C30" i="13"/>
  <c r="E116" i="13"/>
  <c r="C116" i="13" s="1"/>
  <c r="D19" i="22"/>
  <c r="D45" i="22" s="1"/>
  <c r="D47" i="22" s="1"/>
  <c r="C72" i="6"/>
  <c r="C122" i="13"/>
  <c r="D229" i="24"/>
  <c r="C25" i="1"/>
  <c r="D214" i="24"/>
  <c r="D234" i="24"/>
  <c r="C35" i="1"/>
  <c r="D222" i="24"/>
  <c r="C18" i="1"/>
  <c r="D244" i="24"/>
  <c r="C50" i="1"/>
  <c r="C80" i="1"/>
  <c r="C70" i="1"/>
  <c r="EP11" i="29"/>
  <c r="EO20" i="29" s="1"/>
  <c r="P97" i="6"/>
  <c r="P22" i="23" s="1"/>
  <c r="Q106" i="24"/>
  <c r="J106" i="24"/>
  <c r="I106" i="24"/>
  <c r="I39" i="7"/>
  <c r="M17" i="15"/>
  <c r="M19" i="15" s="1"/>
  <c r="M21" i="15" s="1"/>
  <c r="O17" i="15"/>
  <c r="O19" i="15" s="1"/>
  <c r="O21" i="15" s="1"/>
  <c r="K16" i="12"/>
  <c r="K61" i="1" s="1"/>
  <c r="K260" i="24" s="1"/>
  <c r="K16" i="4"/>
  <c r="K62" i="1" s="1"/>
  <c r="K261" i="24" s="1"/>
  <c r="I16" i="4"/>
  <c r="J16" i="4"/>
  <c r="J62" i="1" s="1"/>
  <c r="J261" i="24" s="1"/>
  <c r="I100" i="1"/>
  <c r="K100" i="1"/>
  <c r="L75" i="24"/>
  <c r="Q75" i="24"/>
  <c r="K80" i="24"/>
  <c r="J75" i="24"/>
  <c r="J16" i="15"/>
  <c r="J63" i="1" s="1"/>
  <c r="J262" i="24" s="1"/>
  <c r="I16" i="15"/>
  <c r="N16" i="15"/>
  <c r="N63" i="1" s="1"/>
  <c r="N262" i="24" s="1"/>
  <c r="K17" i="15"/>
  <c r="K19" i="15" s="1"/>
  <c r="K21" i="15" s="1"/>
  <c r="G47" i="13"/>
  <c r="G46" i="13" s="1"/>
  <c r="G24" i="12"/>
  <c r="G101" i="1" s="1"/>
  <c r="F47" i="13"/>
  <c r="F46" i="13" s="1"/>
  <c r="F24" i="12"/>
  <c r="F101" i="1" s="1"/>
  <c r="E47" i="13"/>
  <c r="E46" i="13" s="1"/>
  <c r="E24" i="12"/>
  <c r="E101" i="1" s="1"/>
  <c r="Q16" i="15"/>
  <c r="Q63" i="1" s="1"/>
  <c r="Q262" i="24" s="1"/>
  <c r="J100" i="1"/>
  <c r="L100" i="1"/>
  <c r="E353" i="24"/>
  <c r="E37" i="23"/>
  <c r="F353" i="24"/>
  <c r="F37" i="23"/>
  <c r="P353" i="24"/>
  <c r="P37" i="23"/>
  <c r="L353" i="24"/>
  <c r="L37" i="23"/>
  <c r="J353" i="24"/>
  <c r="J37" i="23"/>
  <c r="K353" i="24"/>
  <c r="K37" i="23"/>
  <c r="O353" i="24"/>
  <c r="O37" i="23"/>
  <c r="N353" i="24"/>
  <c r="N37" i="23"/>
  <c r="I353" i="24"/>
  <c r="I37" i="23"/>
  <c r="D353" i="24"/>
  <c r="D37" i="23"/>
  <c r="Q100" i="1"/>
  <c r="P100" i="1"/>
  <c r="N100" i="1"/>
  <c r="O100" i="1"/>
  <c r="Q80" i="24"/>
  <c r="I68" i="6"/>
  <c r="I349" i="24" s="1"/>
  <c r="I35" i="24" s="1"/>
  <c r="F74" i="13"/>
  <c r="J74" i="13"/>
  <c r="P68" i="6"/>
  <c r="P349" i="24" s="1"/>
  <c r="K68" i="6"/>
  <c r="K349" i="24" s="1"/>
  <c r="K35" i="24" s="1"/>
  <c r="L80" i="24"/>
  <c r="E122" i="24"/>
  <c r="M66" i="6"/>
  <c r="M347" i="24" s="1"/>
  <c r="E378" i="24"/>
  <c r="H122" i="24"/>
  <c r="P74" i="13"/>
  <c r="O68" i="6"/>
  <c r="O349" i="24" s="1"/>
  <c r="O35" i="24" s="1"/>
  <c r="M67" i="6"/>
  <c r="M348" i="24" s="1"/>
  <c r="J80" i="24"/>
  <c r="K75" i="24"/>
  <c r="G68" i="6"/>
  <c r="G349" i="24" s="1"/>
  <c r="G35" i="24" s="1"/>
  <c r="J81" i="24"/>
  <c r="N74" i="13"/>
  <c r="M68" i="6"/>
  <c r="M349" i="24" s="1"/>
  <c r="M35" i="24" s="1"/>
  <c r="K50" i="6"/>
  <c r="K331" i="24" s="1"/>
  <c r="L74" i="13"/>
  <c r="H68" i="6"/>
  <c r="H349" i="24" s="1"/>
  <c r="H35" i="24" s="1"/>
  <c r="L122" i="24"/>
  <c r="D50" i="6"/>
  <c r="D331" i="24" s="1"/>
  <c r="G22" i="15"/>
  <c r="G25" i="15" s="1"/>
  <c r="G108" i="1" s="1"/>
  <c r="D22" i="15"/>
  <c r="D25" i="15" s="1"/>
  <c r="D108" i="1" s="1"/>
  <c r="D68" i="6"/>
  <c r="E68" i="6"/>
  <c r="E349" i="24" s="1"/>
  <c r="E35" i="24" s="1"/>
  <c r="H50" i="6"/>
  <c r="H331" i="24" s="1"/>
  <c r="G50" i="6"/>
  <c r="G331" i="24" s="1"/>
  <c r="P122" i="24"/>
  <c r="F50" i="6"/>
  <c r="F331" i="24" s="1"/>
  <c r="L68" i="6"/>
  <c r="L349" i="24" s="1"/>
  <c r="L35" i="24" s="1"/>
  <c r="K332" i="24"/>
  <c r="F264" i="24"/>
  <c r="H353" i="24"/>
  <c r="BB5" i="29"/>
  <c r="AY19" i="29" s="1"/>
  <c r="Q430" i="24"/>
  <c r="Q433" i="24"/>
  <c r="Q339" i="24"/>
  <c r="Q386" i="24"/>
  <c r="Q301" i="24"/>
  <c r="Q304" i="24"/>
  <c r="E76" i="24"/>
  <c r="E81" i="24"/>
  <c r="P67" i="6"/>
  <c r="P348" i="24" s="1"/>
  <c r="I66" i="6"/>
  <c r="I347" i="24" s="1"/>
  <c r="K67" i="6"/>
  <c r="K348" i="24" s="1"/>
  <c r="N67" i="6"/>
  <c r="N348" i="24" s="1"/>
  <c r="F67" i="6"/>
  <c r="F348" i="24" s="1"/>
  <c r="G66" i="6"/>
  <c r="G347" i="24" s="1"/>
  <c r="G33" i="24" s="1"/>
  <c r="G122" i="24"/>
  <c r="Q10" i="6"/>
  <c r="Q286" i="24" s="1"/>
  <c r="Q289" i="24"/>
  <c r="Q341" i="24"/>
  <c r="Q344" i="24"/>
  <c r="Q410" i="24"/>
  <c r="Q413" i="24"/>
  <c r="F81" i="24"/>
  <c r="F76" i="24"/>
  <c r="H76" i="24"/>
  <c r="H81" i="24"/>
  <c r="N50" i="6"/>
  <c r="N331" i="24" s="1"/>
  <c r="K121" i="24"/>
  <c r="J66" i="6"/>
  <c r="J347" i="24" s="1"/>
  <c r="J33" i="24" s="1"/>
  <c r="P50" i="6"/>
  <c r="P331" i="24" s="1"/>
  <c r="Q353" i="24"/>
  <c r="Q356" i="24"/>
  <c r="Q376" i="24"/>
  <c r="Q358" i="24"/>
  <c r="Q361" i="24"/>
  <c r="Q306" i="24"/>
  <c r="Q309" i="24"/>
  <c r="P81" i="24"/>
  <c r="P76" i="24"/>
  <c r="L67" i="6"/>
  <c r="L348" i="24" s="1"/>
  <c r="D67" i="6"/>
  <c r="O67" i="6"/>
  <c r="O348" i="24" s="1"/>
  <c r="G67" i="6"/>
  <c r="G348" i="24" s="1"/>
  <c r="Q348" i="24"/>
  <c r="I67" i="6"/>
  <c r="I348" i="24" s="1"/>
  <c r="J67" i="6"/>
  <c r="J348" i="24" s="1"/>
  <c r="G353" i="24"/>
  <c r="BA5" i="29"/>
  <c r="M353" i="24"/>
  <c r="Q418" i="24"/>
  <c r="Q294" i="24"/>
  <c r="G81" i="24"/>
  <c r="G76" i="24"/>
  <c r="L81" i="24"/>
  <c r="L76" i="24"/>
  <c r="L121" i="24"/>
  <c r="Q347" i="24"/>
  <c r="Q33" i="24" s="1"/>
  <c r="Q121" i="24"/>
  <c r="J121" i="24"/>
  <c r="P16" i="4"/>
  <c r="P62" i="1" s="1"/>
  <c r="P261" i="24" s="1"/>
  <c r="Q16" i="4"/>
  <c r="Q62" i="1" s="1"/>
  <c r="Q261" i="24" s="1"/>
  <c r="O16" i="4"/>
  <c r="O62" i="1" s="1"/>
  <c r="O261" i="24" s="1"/>
  <c r="N16" i="4"/>
  <c r="N62" i="1" s="1"/>
  <c r="N261" i="24" s="1"/>
  <c r="M16" i="4"/>
  <c r="M62" i="1" s="1"/>
  <c r="M261" i="24" s="1"/>
  <c r="O181" i="24" s="1"/>
  <c r="P264" i="24"/>
  <c r="Q264" i="24"/>
  <c r="F22" i="12"/>
  <c r="P16" i="12"/>
  <c r="P61" i="1" s="1"/>
  <c r="O16" i="12"/>
  <c r="O61" i="1" s="1"/>
  <c r="Q9" i="24"/>
  <c r="I9" i="24"/>
  <c r="F147" i="24"/>
  <c r="G147" i="24" s="1"/>
  <c r="E172" i="24"/>
  <c r="J157" i="24"/>
  <c r="O147" i="24"/>
  <c r="M9" i="24"/>
  <c r="E9" i="24"/>
  <c r="H17" i="1"/>
  <c r="H211" i="24"/>
  <c r="Q17" i="1"/>
  <c r="Q211" i="24"/>
  <c r="G17" i="1"/>
  <c r="G211" i="24"/>
  <c r="P17" i="1"/>
  <c r="P211" i="24"/>
  <c r="L17" i="1"/>
  <c r="L211" i="24"/>
  <c r="E17" i="1"/>
  <c r="E211" i="24"/>
  <c r="N17" i="1"/>
  <c r="N211" i="24"/>
  <c r="J17" i="1"/>
  <c r="J211" i="24"/>
  <c r="M17" i="1"/>
  <c r="M211" i="24"/>
  <c r="I17" i="1"/>
  <c r="I211" i="24"/>
  <c r="F17" i="1"/>
  <c r="F211" i="24"/>
  <c r="O17" i="1"/>
  <c r="O211" i="24"/>
  <c r="K17" i="1"/>
  <c r="K211" i="24"/>
  <c r="E145" i="24"/>
  <c r="G7" i="24"/>
  <c r="I7" i="24"/>
  <c r="L7" i="24"/>
  <c r="E254" i="24"/>
  <c r="E46" i="23"/>
  <c r="D254" i="24"/>
  <c r="D46" i="23"/>
  <c r="J145" i="24"/>
  <c r="K145" i="24" s="1"/>
  <c r="L145" i="24" s="1"/>
  <c r="H7" i="24"/>
  <c r="K7" i="24"/>
  <c r="J7" i="24"/>
  <c r="F254" i="24"/>
  <c r="F46" i="23"/>
  <c r="P7" i="24"/>
  <c r="Q7" i="24"/>
  <c r="O145" i="24"/>
  <c r="O155" i="24" s="1"/>
  <c r="M7" i="24"/>
  <c r="H254" i="24"/>
  <c r="J174" i="24" s="1"/>
  <c r="K174" i="24" s="1"/>
  <c r="H46" i="23"/>
  <c r="G254" i="24"/>
  <c r="E174" i="24" s="1"/>
  <c r="F174" i="24" s="1"/>
  <c r="G46" i="23"/>
  <c r="J254" i="24"/>
  <c r="J46" i="23"/>
  <c r="I254" i="24"/>
  <c r="I46" i="23"/>
  <c r="K254" i="24"/>
  <c r="K46" i="23"/>
  <c r="L254" i="24"/>
  <c r="L46" i="23"/>
  <c r="Q254" i="24"/>
  <c r="Q46" i="23"/>
  <c r="P254" i="24"/>
  <c r="P46" i="23"/>
  <c r="O254" i="24"/>
  <c r="O46" i="23"/>
  <c r="N254" i="24"/>
  <c r="N46" i="23"/>
  <c r="M254" i="24"/>
  <c r="O174" i="24" s="1"/>
  <c r="P174" i="24" s="1"/>
  <c r="M46" i="23"/>
  <c r="J76" i="24"/>
  <c r="K81" i="24"/>
  <c r="K76" i="24"/>
  <c r="K122" i="24"/>
  <c r="F378" i="24"/>
  <c r="J378" i="24"/>
  <c r="I312" i="24"/>
  <c r="Q312" i="24"/>
  <c r="Q79" i="24" s="1"/>
  <c r="K312" i="24"/>
  <c r="K74" i="24" s="1"/>
  <c r="J312" i="24"/>
  <c r="J74" i="24" s="1"/>
  <c r="L312" i="24"/>
  <c r="L79" i="24" s="1"/>
  <c r="F37" i="13"/>
  <c r="F36" i="13" s="1"/>
  <c r="K378" i="24"/>
  <c r="I74" i="13"/>
  <c r="I50" i="6"/>
  <c r="I331" i="24" s="1"/>
  <c r="Q110" i="13"/>
  <c r="L66" i="6"/>
  <c r="L347" i="24" s="1"/>
  <c r="L33" i="24" s="1"/>
  <c r="D66" i="6"/>
  <c r="N66" i="6"/>
  <c r="N347" i="24" s="1"/>
  <c r="F66" i="6"/>
  <c r="F347" i="24" s="1"/>
  <c r="K66" i="6"/>
  <c r="K347" i="24" s="1"/>
  <c r="L50" i="6"/>
  <c r="L331" i="24" s="1"/>
  <c r="H37" i="13"/>
  <c r="H36" i="13" s="1"/>
  <c r="E37" i="13"/>
  <c r="E36" i="13" s="1"/>
  <c r="G378" i="24"/>
  <c r="G37" i="13"/>
  <c r="G36" i="13" s="1"/>
  <c r="H378" i="24"/>
  <c r="P66" i="6"/>
  <c r="P347" i="24" s="1"/>
  <c r="H74" i="13"/>
  <c r="P332" i="24"/>
  <c r="G332" i="24"/>
  <c r="K152" i="6"/>
  <c r="K438" i="24" s="1"/>
  <c r="K102" i="24" s="1"/>
  <c r="K428" i="24"/>
  <c r="H152" i="6"/>
  <c r="H438" i="24" s="1"/>
  <c r="H102" i="24" s="1"/>
  <c r="H428" i="24"/>
  <c r="M152" i="6"/>
  <c r="M438" i="24" s="1"/>
  <c r="M428" i="24"/>
  <c r="K383" i="24"/>
  <c r="L152" i="6"/>
  <c r="L438" i="24" s="1"/>
  <c r="L428" i="24"/>
  <c r="E152" i="6"/>
  <c r="E438" i="24" s="1"/>
  <c r="E102" i="24" s="1"/>
  <c r="E428" i="24"/>
  <c r="M150" i="6"/>
  <c r="M436" i="24" s="1"/>
  <c r="M100" i="24" s="1"/>
  <c r="M426" i="24"/>
  <c r="P152" i="6"/>
  <c r="P438" i="24" s="1"/>
  <c r="P102" i="24" s="1"/>
  <c r="P428" i="24"/>
  <c r="I152" i="6"/>
  <c r="I438" i="24" s="1"/>
  <c r="I102" i="24" s="1"/>
  <c r="I428" i="24"/>
  <c r="J152" i="6"/>
  <c r="J438" i="24" s="1"/>
  <c r="J102" i="24" s="1"/>
  <c r="J428" i="24"/>
  <c r="E383" i="24"/>
  <c r="J383" i="24"/>
  <c r="G383" i="24"/>
  <c r="M50" i="6"/>
  <c r="M331" i="24" s="1"/>
  <c r="O152" i="6"/>
  <c r="O438" i="24" s="1"/>
  <c r="O428" i="24"/>
  <c r="F152" i="6"/>
  <c r="F438" i="24" s="1"/>
  <c r="F102" i="24" s="1"/>
  <c r="F428" i="24"/>
  <c r="F383" i="24"/>
  <c r="I383" i="24"/>
  <c r="H383" i="24"/>
  <c r="M151" i="6"/>
  <c r="M437" i="24" s="1"/>
  <c r="M101" i="24" s="1"/>
  <c r="M427" i="24"/>
  <c r="G152" i="6"/>
  <c r="G438" i="24" s="1"/>
  <c r="G102" i="24" s="1"/>
  <c r="G428" i="24"/>
  <c r="N152" i="6"/>
  <c r="N438" i="24" s="1"/>
  <c r="N428" i="24"/>
  <c r="O332" i="24"/>
  <c r="O50" i="6"/>
  <c r="O331" i="24" s="1"/>
  <c r="D383" i="24"/>
  <c r="D22" i="23"/>
  <c r="E50" i="6"/>
  <c r="E331" i="24" s="1"/>
  <c r="J50" i="6"/>
  <c r="J331" i="24" s="1"/>
  <c r="E67" i="6"/>
  <c r="E348" i="24" s="1"/>
  <c r="E333" i="24"/>
  <c r="F68" i="6"/>
  <c r="F349" i="24" s="1"/>
  <c r="F35" i="24" s="1"/>
  <c r="F334" i="24"/>
  <c r="F122" i="24" s="1"/>
  <c r="J68" i="6"/>
  <c r="J349" i="24" s="1"/>
  <c r="J334" i="24"/>
  <c r="J122" i="24" s="1"/>
  <c r="E66" i="6"/>
  <c r="E347" i="24" s="1"/>
  <c r="E332" i="24"/>
  <c r="N68" i="6"/>
  <c r="N349" i="24" s="1"/>
  <c r="N35" i="24" s="1"/>
  <c r="N334" i="24"/>
  <c r="J264" i="24"/>
  <c r="D264" i="24"/>
  <c r="G264" i="24"/>
  <c r="E149" i="24" s="1"/>
  <c r="F149" i="24" s="1"/>
  <c r="N264" i="24"/>
  <c r="K264" i="24"/>
  <c r="M264" i="24"/>
  <c r="O149" i="24" s="1"/>
  <c r="P149" i="24" s="1"/>
  <c r="I264" i="24"/>
  <c r="H264" i="24"/>
  <c r="J149" i="24" s="1"/>
  <c r="K149" i="24" s="1"/>
  <c r="E264" i="24"/>
  <c r="L264" i="24"/>
  <c r="O264" i="24"/>
  <c r="H19" i="22"/>
  <c r="H45" i="22" s="1"/>
  <c r="H8" i="13"/>
  <c r="H70" i="13" s="1"/>
  <c r="H180" i="13" s="1"/>
  <c r="F5" i="22"/>
  <c r="G8" i="13"/>
  <c r="G70" i="13" s="1"/>
  <c r="G180" i="13" s="1"/>
  <c r="G19" i="22"/>
  <c r="G45" i="22" s="1"/>
  <c r="L19" i="22"/>
  <c r="L8" i="13"/>
  <c r="L70" i="13" s="1"/>
  <c r="D8" i="13"/>
  <c r="D70" i="13" s="1"/>
  <c r="D180" i="13" s="1"/>
  <c r="L5" i="20"/>
  <c r="H5" i="20"/>
  <c r="D5" i="1"/>
  <c r="D42" i="24" s="1"/>
  <c r="E16" i="1"/>
  <c r="E209" i="24"/>
  <c r="O5" i="1"/>
  <c r="O209" i="24" s="1"/>
  <c r="O16" i="1"/>
  <c r="K5" i="1"/>
  <c r="K209" i="24" s="1"/>
  <c r="K16" i="1"/>
  <c r="N16" i="1"/>
  <c r="N5" i="1"/>
  <c r="N209" i="24" s="1"/>
  <c r="J16" i="1"/>
  <c r="J5" i="1"/>
  <c r="J209" i="24" s="1"/>
  <c r="M5" i="1"/>
  <c r="M209" i="24" s="1"/>
  <c r="M16" i="1"/>
  <c r="H16" i="1"/>
  <c r="G5" i="1"/>
  <c r="G209" i="24" s="1"/>
  <c r="G16" i="1"/>
  <c r="I5" i="1"/>
  <c r="I209" i="24" s="1"/>
  <c r="I16" i="1"/>
  <c r="Q16" i="1"/>
  <c r="Q5" i="1"/>
  <c r="F16" i="1"/>
  <c r="F5" i="1"/>
  <c r="F209" i="24" s="1"/>
  <c r="P16" i="1"/>
  <c r="P5" i="1"/>
  <c r="P209" i="24" s="1"/>
  <c r="L16" i="1"/>
  <c r="L5" i="1"/>
  <c r="L209" i="24" s="1"/>
  <c r="K74" i="13"/>
  <c r="L19" i="14"/>
  <c r="L45" i="14" s="1"/>
  <c r="L6" i="13"/>
  <c r="O66" i="6"/>
  <c r="O347" i="24" s="1"/>
  <c r="G74" i="13"/>
  <c r="G109" i="13"/>
  <c r="E74" i="13"/>
  <c r="Q112" i="13"/>
  <c r="O74" i="13"/>
  <c r="O109" i="13"/>
  <c r="Q396" i="24"/>
  <c r="K109" i="13"/>
  <c r="I109" i="13"/>
  <c r="F109" i="13"/>
  <c r="J109" i="13"/>
  <c r="N109" i="13"/>
  <c r="L109" i="13"/>
  <c r="P109" i="13"/>
  <c r="D109" i="13"/>
  <c r="H109" i="13"/>
  <c r="Q331" i="24"/>
  <c r="Q321" i="24"/>
  <c r="D5" i="6"/>
  <c r="I5" i="6"/>
  <c r="I281" i="24" s="1"/>
  <c r="G5" i="6"/>
  <c r="L5" i="6"/>
  <c r="L281" i="24" s="1"/>
  <c r="O5" i="6"/>
  <c r="J5" i="6"/>
  <c r="J281" i="24" s="1"/>
  <c r="N5" i="6"/>
  <c r="F5" i="6"/>
  <c r="P5" i="6"/>
  <c r="K5" i="6"/>
  <c r="K281" i="24" s="1"/>
  <c r="M139" i="6"/>
  <c r="M425" i="24" s="1"/>
  <c r="Q5" i="6"/>
  <c r="M38" i="10"/>
  <c r="M39" i="10" s="1"/>
  <c r="M168" i="13"/>
  <c r="J39" i="10"/>
  <c r="M38" i="7"/>
  <c r="M39" i="7" s="1"/>
  <c r="E19" i="15"/>
  <c r="G23" i="1"/>
  <c r="G227" i="24" s="1"/>
  <c r="J23" i="1"/>
  <c r="J227" i="24" s="1"/>
  <c r="Q23" i="1"/>
  <c r="Q227" i="24" s="1"/>
  <c r="O23" i="1"/>
  <c r="O227" i="24" s="1"/>
  <c r="L23" i="1"/>
  <c r="L227" i="24" s="1"/>
  <c r="H23" i="1"/>
  <c r="H227" i="24" s="1"/>
  <c r="I23" i="1"/>
  <c r="I227" i="24" s="1"/>
  <c r="P23" i="1"/>
  <c r="P227" i="24" s="1"/>
  <c r="F23" i="1"/>
  <c r="F227" i="24" s="1"/>
  <c r="M23" i="1"/>
  <c r="M227" i="24" s="1"/>
  <c r="K23" i="1"/>
  <c r="K227" i="24" s="1"/>
  <c r="N23" i="1"/>
  <c r="N227" i="24" s="1"/>
  <c r="D23" i="1"/>
  <c r="E23" i="1"/>
  <c r="E227" i="24" s="1"/>
  <c r="N39" i="10"/>
  <c r="Q39" i="7"/>
  <c r="D39" i="10"/>
  <c r="I39" i="10"/>
  <c r="Q167" i="13"/>
  <c r="Q39" i="10"/>
  <c r="Q8" i="4"/>
  <c r="Q395" i="24"/>
  <c r="M8" i="4"/>
  <c r="Q394" i="24"/>
  <c r="E39" i="10"/>
  <c r="G38" i="7"/>
  <c r="G39" i="7" s="1"/>
  <c r="Q168" i="13"/>
  <c r="I167" i="13"/>
  <c r="K38" i="10"/>
  <c r="K39" i="10" s="1"/>
  <c r="D168" i="13"/>
  <c r="K38" i="7"/>
  <c r="K39" i="7" s="1"/>
  <c r="O38" i="7"/>
  <c r="O39" i="7" s="1"/>
  <c r="L168" i="13"/>
  <c r="L38" i="10"/>
  <c r="L39" i="10" s="1"/>
  <c r="P39" i="10"/>
  <c r="P168" i="13"/>
  <c r="H14" i="7"/>
  <c r="H17" i="7" s="1"/>
  <c r="F109" i="6"/>
  <c r="F395" i="24" s="1"/>
  <c r="E17" i="12"/>
  <c r="E19" i="12" s="1"/>
  <c r="E21" i="12" s="1"/>
  <c r="O38" i="10"/>
  <c r="O39" i="10" s="1"/>
  <c r="O108" i="6"/>
  <c r="O394" i="24" s="1"/>
  <c r="I109" i="6"/>
  <c r="I395" i="24" s="1"/>
  <c r="F167" i="13"/>
  <c r="F38" i="7"/>
  <c r="F39" i="7" s="1"/>
  <c r="H14" i="10"/>
  <c r="C52" i="6" s="1"/>
  <c r="P167" i="13"/>
  <c r="P39" i="7"/>
  <c r="L39" i="7"/>
  <c r="L167" i="13"/>
  <c r="H17" i="14"/>
  <c r="H58" i="13" s="1"/>
  <c r="H57" i="13" s="1"/>
  <c r="H27" i="7"/>
  <c r="H6" i="14"/>
  <c r="H11" i="13" s="1"/>
  <c r="H10" i="13" s="1"/>
  <c r="H6" i="6"/>
  <c r="H18" i="14"/>
  <c r="H63" i="13" s="1"/>
  <c r="H62" i="13" s="1"/>
  <c r="N38" i="7"/>
  <c r="N39" i="7" s="1"/>
  <c r="N167" i="13"/>
  <c r="J38" i="7"/>
  <c r="J39" i="7" s="1"/>
  <c r="J167" i="13"/>
  <c r="F168" i="13"/>
  <c r="F38" i="10"/>
  <c r="F39" i="10" s="1"/>
  <c r="I168" i="13"/>
  <c r="H36" i="7"/>
  <c r="H14" i="14"/>
  <c r="G168" i="13"/>
  <c r="E38" i="7"/>
  <c r="E39" i="7" s="1"/>
  <c r="E167" i="13"/>
  <c r="H13" i="14"/>
  <c r="H42" i="13" s="1"/>
  <c r="H41" i="13" s="1"/>
  <c r="C41" i="13" s="1"/>
  <c r="G39" i="10"/>
  <c r="H7" i="14"/>
  <c r="H16" i="13" s="1"/>
  <c r="H15" i="13" s="1"/>
  <c r="D167" i="13"/>
  <c r="I141" i="6"/>
  <c r="H36" i="10"/>
  <c r="G167" i="13"/>
  <c r="E168" i="13"/>
  <c r="N168" i="13"/>
  <c r="J168" i="13"/>
  <c r="G109" i="6"/>
  <c r="G395" i="24" s="1"/>
  <c r="O109" i="6"/>
  <c r="O395" i="24" s="1"/>
  <c r="K109" i="6"/>
  <c r="K395" i="24" s="1"/>
  <c r="H27" i="10"/>
  <c r="D16" i="1"/>
  <c r="D31" i="1" s="1"/>
  <c r="H7" i="6"/>
  <c r="E140" i="6"/>
  <c r="F140" i="6"/>
  <c r="H141" i="6"/>
  <c r="H427" i="24" s="1"/>
  <c r="O167" i="13"/>
  <c r="K108" i="6"/>
  <c r="K394" i="24" s="1"/>
  <c r="G141" i="6"/>
  <c r="P141" i="6"/>
  <c r="O168" i="13"/>
  <c r="K168" i="13"/>
  <c r="J140" i="6"/>
  <c r="J426" i="24" s="1"/>
  <c r="I140" i="6"/>
  <c r="I426" i="24" s="1"/>
  <c r="G108" i="6"/>
  <c r="G394" i="24" s="1"/>
  <c r="D141" i="6"/>
  <c r="F108" i="6"/>
  <c r="F394" i="24" s="1"/>
  <c r="D109" i="6"/>
  <c r="D395" i="24" s="1"/>
  <c r="F141" i="6"/>
  <c r="O141" i="6"/>
  <c r="K141" i="6"/>
  <c r="L141" i="6"/>
  <c r="N140" i="6"/>
  <c r="N426" i="24" s="1"/>
  <c r="E108" i="6"/>
  <c r="E394" i="24" s="1"/>
  <c r="N108" i="6"/>
  <c r="N394" i="24" s="1"/>
  <c r="J108" i="6"/>
  <c r="J394" i="24" s="1"/>
  <c r="P108" i="6"/>
  <c r="P394" i="24" s="1"/>
  <c r="P109" i="6"/>
  <c r="P395" i="24" s="1"/>
  <c r="L109" i="6"/>
  <c r="L395" i="24" s="1"/>
  <c r="L108" i="6"/>
  <c r="L394" i="24" s="1"/>
  <c r="P140" i="6"/>
  <c r="P426" i="24" s="1"/>
  <c r="L140" i="6"/>
  <c r="L426" i="24" s="1"/>
  <c r="G140" i="6"/>
  <c r="G426" i="24" s="1"/>
  <c r="E141" i="6"/>
  <c r="D108" i="6"/>
  <c r="I108" i="6"/>
  <c r="I394" i="24" s="1"/>
  <c r="E109" i="6"/>
  <c r="E395" i="24" s="1"/>
  <c r="N109" i="6"/>
  <c r="N395" i="24" s="1"/>
  <c r="J109" i="6"/>
  <c r="J395" i="24" s="1"/>
  <c r="N141" i="6"/>
  <c r="J141" i="6"/>
  <c r="O140" i="6"/>
  <c r="O426" i="24" s="1"/>
  <c r="K140" i="6"/>
  <c r="K426" i="24" s="1"/>
  <c r="F8" i="4"/>
  <c r="O8" i="4"/>
  <c r="K8" i="4"/>
  <c r="E8" i="4"/>
  <c r="N8" i="4"/>
  <c r="J8" i="4"/>
  <c r="D8" i="4"/>
  <c r="I8" i="4"/>
  <c r="G8" i="4"/>
  <c r="P8" i="4"/>
  <c r="G8" i="12"/>
  <c r="P8" i="12"/>
  <c r="F8" i="12"/>
  <c r="O8" i="12"/>
  <c r="K8" i="12"/>
  <c r="D8" i="12"/>
  <c r="D17" i="1"/>
  <c r="D32" i="1" s="1"/>
  <c r="D140" i="1"/>
  <c r="C51" i="6" l="1"/>
  <c r="I220" i="24"/>
  <c r="I31" i="1"/>
  <c r="G220" i="24"/>
  <c r="G31" i="1"/>
  <c r="H220" i="24"/>
  <c r="H31" i="1"/>
  <c r="J220" i="24"/>
  <c r="J31" i="1"/>
  <c r="N220" i="24"/>
  <c r="N31" i="1"/>
  <c r="E220" i="24"/>
  <c r="E31" i="1"/>
  <c r="K221" i="24"/>
  <c r="K32" i="1"/>
  <c r="O221" i="24"/>
  <c r="O32" i="1"/>
  <c r="F221" i="24"/>
  <c r="F32" i="1"/>
  <c r="I221" i="24"/>
  <c r="I32" i="1"/>
  <c r="M221" i="24"/>
  <c r="M32" i="1"/>
  <c r="J221" i="24"/>
  <c r="J32" i="1"/>
  <c r="N221" i="24"/>
  <c r="N32" i="1"/>
  <c r="E221" i="24"/>
  <c r="E32" i="1"/>
  <c r="L221" i="24"/>
  <c r="L32" i="1"/>
  <c r="P221" i="24"/>
  <c r="P32" i="1"/>
  <c r="G221" i="24"/>
  <c r="G32" i="1"/>
  <c r="Q221" i="24"/>
  <c r="Q32" i="1"/>
  <c r="H221" i="24"/>
  <c r="H32" i="1"/>
  <c r="L220" i="24"/>
  <c r="L31" i="1"/>
  <c r="P220" i="24"/>
  <c r="P31" i="1"/>
  <c r="F220" i="24"/>
  <c r="F31" i="1"/>
  <c r="Q220" i="24"/>
  <c r="Q31" i="1"/>
  <c r="M220" i="24"/>
  <c r="M31" i="1"/>
  <c r="K220" i="24"/>
  <c r="K31" i="1"/>
  <c r="O220" i="24"/>
  <c r="O31" i="1"/>
  <c r="E22" i="12"/>
  <c r="E25" i="12" s="1"/>
  <c r="E106" i="1" s="1"/>
  <c r="E5" i="14"/>
  <c r="M79" i="24"/>
  <c r="M120" i="24"/>
  <c r="C16" i="13"/>
  <c r="D75" i="24"/>
  <c r="O122" i="24"/>
  <c r="O76" i="24"/>
  <c r="F121" i="24"/>
  <c r="M121" i="24"/>
  <c r="M80" i="24"/>
  <c r="I42" i="24"/>
  <c r="M42" i="24"/>
  <c r="P42" i="24"/>
  <c r="Q209" i="24"/>
  <c r="Q42" i="24"/>
  <c r="G42" i="24"/>
  <c r="O42" i="24"/>
  <c r="N42" i="24"/>
  <c r="K42" i="24"/>
  <c r="F42" i="24"/>
  <c r="L42" i="24"/>
  <c r="J42" i="24"/>
  <c r="E42" i="24"/>
  <c r="K104" i="24"/>
  <c r="J104" i="24"/>
  <c r="I104" i="24"/>
  <c r="M104" i="24"/>
  <c r="N81" i="24"/>
  <c r="N122" i="24"/>
  <c r="N312" i="24"/>
  <c r="N74" i="24" s="1"/>
  <c r="C11" i="13"/>
  <c r="C58" i="13"/>
  <c r="C63" i="13"/>
  <c r="C42" i="13"/>
  <c r="M122" i="24"/>
  <c r="M81" i="24"/>
  <c r="E121" i="24"/>
  <c r="D80" i="24"/>
  <c r="C37" i="13"/>
  <c r="E46" i="22"/>
  <c r="E185" i="13" s="1"/>
  <c r="D49" i="22"/>
  <c r="P121" i="24"/>
  <c r="P80" i="24"/>
  <c r="P106" i="24"/>
  <c r="O312" i="24"/>
  <c r="O79" i="24" s="1"/>
  <c r="E43" i="10"/>
  <c r="N43" i="10"/>
  <c r="O43" i="10"/>
  <c r="M43" i="10"/>
  <c r="K43" i="10"/>
  <c r="I43" i="10"/>
  <c r="G43" i="10"/>
  <c r="F43" i="10"/>
  <c r="P43" i="10"/>
  <c r="L43" i="10"/>
  <c r="Q43" i="10"/>
  <c r="D43" i="10"/>
  <c r="J43" i="10"/>
  <c r="K43" i="7"/>
  <c r="E43" i="7"/>
  <c r="O43" i="7"/>
  <c r="I43" i="7"/>
  <c r="N43" i="7"/>
  <c r="J43" i="7"/>
  <c r="L43" i="7"/>
  <c r="F43" i="7"/>
  <c r="G43" i="7"/>
  <c r="P43" i="7"/>
  <c r="Q43" i="7"/>
  <c r="M43" i="7"/>
  <c r="O80" i="24"/>
  <c r="I76" i="24"/>
  <c r="O121" i="24"/>
  <c r="M311" i="24"/>
  <c r="N80" i="24"/>
  <c r="G80" i="24"/>
  <c r="N75" i="24"/>
  <c r="N106" i="24"/>
  <c r="G312" i="24"/>
  <c r="G79" i="24" s="1"/>
  <c r="P312" i="24"/>
  <c r="P74" i="24" s="1"/>
  <c r="O106" i="24"/>
  <c r="C6" i="6"/>
  <c r="H161" i="6"/>
  <c r="C161" i="6" s="1"/>
  <c r="E312" i="24"/>
  <c r="E74" i="24" s="1"/>
  <c r="F75" i="24"/>
  <c r="E106" i="24"/>
  <c r="F312" i="24"/>
  <c r="F79" i="24" s="1"/>
  <c r="G75" i="24"/>
  <c r="F106" i="24"/>
  <c r="C7" i="6"/>
  <c r="H162" i="6"/>
  <c r="C162" i="6" s="1"/>
  <c r="E75" i="24"/>
  <c r="G106" i="24"/>
  <c r="N281" i="24"/>
  <c r="N104" i="24" s="1"/>
  <c r="N160" i="6"/>
  <c r="F281" i="24"/>
  <c r="F104" i="24" s="1"/>
  <c r="F160" i="6"/>
  <c r="E281" i="24"/>
  <c r="E104" i="24" s="1"/>
  <c r="E160" i="6"/>
  <c r="D106" i="24"/>
  <c r="G281" i="24"/>
  <c r="G104" i="24" s="1"/>
  <c r="G160" i="6"/>
  <c r="Q281" i="24"/>
  <c r="Q104" i="24" s="1"/>
  <c r="Q160" i="6"/>
  <c r="P281" i="24"/>
  <c r="P104" i="24" s="1"/>
  <c r="P160" i="6"/>
  <c r="O281" i="24"/>
  <c r="O104" i="24" s="1"/>
  <c r="O160" i="6"/>
  <c r="D121" i="24"/>
  <c r="D312" i="24"/>
  <c r="D79" i="24" s="1"/>
  <c r="I122" i="24"/>
  <c r="I81" i="24"/>
  <c r="L378" i="24"/>
  <c r="I74" i="24"/>
  <c r="C50" i="6"/>
  <c r="C10" i="6"/>
  <c r="C62" i="13"/>
  <c r="I378" i="24"/>
  <c r="I80" i="24"/>
  <c r="I121" i="24"/>
  <c r="I75" i="24"/>
  <c r="BA7" i="29"/>
  <c r="D427" i="24"/>
  <c r="C141" i="6"/>
  <c r="D347" i="24"/>
  <c r="D33" i="24" s="1"/>
  <c r="D349" i="24"/>
  <c r="D35" i="24" s="1"/>
  <c r="C68" i="6"/>
  <c r="D348" i="24"/>
  <c r="D34" i="24" s="1"/>
  <c r="D281" i="24"/>
  <c r="C74" i="13"/>
  <c r="C36" i="13"/>
  <c r="P22" i="15"/>
  <c r="P25" i="15" s="1"/>
  <c r="P19" i="22"/>
  <c r="C58" i="1"/>
  <c r="D394" i="24"/>
  <c r="I62" i="1"/>
  <c r="I261" i="24" s="1"/>
  <c r="I63" i="1"/>
  <c r="I262" i="24" s="1"/>
  <c r="D221" i="24"/>
  <c r="C17" i="1"/>
  <c r="D220" i="24"/>
  <c r="C16" i="1"/>
  <c r="D227" i="24"/>
  <c r="C23" i="1"/>
  <c r="D209" i="24"/>
  <c r="P383" i="24"/>
  <c r="L311" i="24"/>
  <c r="Q97" i="6"/>
  <c r="Q22" i="23" s="1"/>
  <c r="I17" i="15"/>
  <c r="I19" i="15" s="1"/>
  <c r="I21" i="15" s="1"/>
  <c r="I5" i="22" s="1"/>
  <c r="I19" i="22" s="1"/>
  <c r="I45" i="22" s="1"/>
  <c r="M22" i="15"/>
  <c r="M25" i="15" s="1"/>
  <c r="M108" i="1" s="1"/>
  <c r="M5" i="22"/>
  <c r="O22" i="15"/>
  <c r="O25" i="15" s="1"/>
  <c r="O108" i="1" s="1"/>
  <c r="O5" i="22"/>
  <c r="Q17" i="15"/>
  <c r="Q19" i="15" s="1"/>
  <c r="Q21" i="15" s="1"/>
  <c r="Q22" i="15" s="1"/>
  <c r="J17" i="4"/>
  <c r="J19" i="4" s="1"/>
  <c r="J21" i="4" s="1"/>
  <c r="J5" i="20" s="1"/>
  <c r="J19" i="20" s="1"/>
  <c r="J45" i="20" s="1"/>
  <c r="K17" i="12"/>
  <c r="K19" i="12" s="1"/>
  <c r="K21" i="12" s="1"/>
  <c r="K5" i="14" s="1"/>
  <c r="K6" i="13" s="1"/>
  <c r="G60" i="1"/>
  <c r="G259" i="24" s="1"/>
  <c r="E179" i="24" s="1"/>
  <c r="E60" i="1"/>
  <c r="E259" i="24" s="1"/>
  <c r="Q109" i="13"/>
  <c r="K17" i="4"/>
  <c r="K19" i="4" s="1"/>
  <c r="K21" i="4" s="1"/>
  <c r="J16" i="12"/>
  <c r="J61" i="1" s="1"/>
  <c r="J260" i="24" s="1"/>
  <c r="I16" i="12"/>
  <c r="I17" i="4"/>
  <c r="I19" i="4" s="1"/>
  <c r="I21" i="4" s="1"/>
  <c r="G100" i="1"/>
  <c r="F100" i="1"/>
  <c r="J79" i="24"/>
  <c r="K79" i="24"/>
  <c r="L74" i="24"/>
  <c r="Q74" i="24"/>
  <c r="I79" i="24"/>
  <c r="N17" i="15"/>
  <c r="N19" i="15" s="1"/>
  <c r="N21" i="15" s="1"/>
  <c r="J17" i="15"/>
  <c r="J19" i="15" s="1"/>
  <c r="J21" i="15" s="1"/>
  <c r="K5" i="22"/>
  <c r="K22" i="15"/>
  <c r="F25" i="12"/>
  <c r="F106" i="1" s="1"/>
  <c r="H47" i="13"/>
  <c r="H46" i="13" s="1"/>
  <c r="C46" i="13" s="1"/>
  <c r="H24" i="12"/>
  <c r="K108" i="1"/>
  <c r="L34" i="24"/>
  <c r="M34" i="24"/>
  <c r="F34" i="24"/>
  <c r="M100" i="1"/>
  <c r="K34" i="24"/>
  <c r="P35" i="24"/>
  <c r="P157" i="6"/>
  <c r="P443" i="24" s="1"/>
  <c r="F22" i="1"/>
  <c r="F226" i="24" s="1"/>
  <c r="P34" i="24"/>
  <c r="M33" i="24"/>
  <c r="I34" i="24"/>
  <c r="H22" i="1"/>
  <c r="H226" i="24" s="1"/>
  <c r="E157" i="6"/>
  <c r="E169" i="6" s="1"/>
  <c r="J34" i="24"/>
  <c r="J157" i="6"/>
  <c r="J443" i="24" s="1"/>
  <c r="H157" i="6"/>
  <c r="H443" i="24" s="1"/>
  <c r="I33" i="24"/>
  <c r="N34" i="24"/>
  <c r="D22" i="4"/>
  <c r="D25" i="4" s="1"/>
  <c r="D107" i="1" s="1"/>
  <c r="E22" i="4"/>
  <c r="E25" i="4" s="1"/>
  <c r="E107" i="1" s="1"/>
  <c r="K157" i="6"/>
  <c r="K443" i="24" s="1"/>
  <c r="Q34" i="24"/>
  <c r="G34" i="24"/>
  <c r="H17" i="10"/>
  <c r="F22" i="4"/>
  <c r="F25" i="4" s="1"/>
  <c r="F107" i="1" s="1"/>
  <c r="I157" i="6"/>
  <c r="I443" i="24" s="1"/>
  <c r="F22" i="15"/>
  <c r="F25" i="15" s="1"/>
  <c r="F108" i="1" s="1"/>
  <c r="M17" i="4"/>
  <c r="M19" i="4" s="1"/>
  <c r="M21" i="4" s="1"/>
  <c r="M22" i="4" s="1"/>
  <c r="M25" i="4" s="1"/>
  <c r="O34" i="24"/>
  <c r="BB7" i="29"/>
  <c r="Q314" i="24"/>
  <c r="Q311" i="24" s="1"/>
  <c r="Q107" i="24"/>
  <c r="Q381" i="24"/>
  <c r="O17" i="4"/>
  <c r="O19" i="4" s="1"/>
  <c r="O21" i="4" s="1"/>
  <c r="O22" i="4" s="1"/>
  <c r="O25" i="4" s="1"/>
  <c r="H283" i="24"/>
  <c r="H91" i="24" s="1"/>
  <c r="H67" i="6"/>
  <c r="H348" i="24" s="1"/>
  <c r="AY20" i="29"/>
  <c r="AZ19" i="29" s="1"/>
  <c r="N17" i="4"/>
  <c r="N19" i="4" s="1"/>
  <c r="N21" i="4" s="1"/>
  <c r="F157" i="24"/>
  <c r="F172" i="24" s="1"/>
  <c r="G172" i="24" s="1"/>
  <c r="H147" i="24" s="1"/>
  <c r="P17" i="4"/>
  <c r="P19" i="4" s="1"/>
  <c r="P21" i="4" s="1"/>
  <c r="Q17" i="4"/>
  <c r="Q19" i="4" s="1"/>
  <c r="Q21" i="4" s="1"/>
  <c r="D22" i="12"/>
  <c r="D25" i="12" s="1"/>
  <c r="D106" i="1" s="1"/>
  <c r="G22" i="4"/>
  <c r="G25" i="4" s="1"/>
  <c r="G107" i="1" s="1"/>
  <c r="P17" i="12"/>
  <c r="P19" i="12" s="1"/>
  <c r="P21" i="12" s="1"/>
  <c r="P5" i="14" s="1"/>
  <c r="M16" i="12"/>
  <c r="M17" i="12" s="1"/>
  <c r="M19" i="12" s="1"/>
  <c r="M21" i="12" s="1"/>
  <c r="N16" i="12"/>
  <c r="N61" i="1" s="1"/>
  <c r="P260" i="24"/>
  <c r="O17" i="12"/>
  <c r="O19" i="12" s="1"/>
  <c r="O21" i="12" s="1"/>
  <c r="Q16" i="12"/>
  <c r="Q61" i="1" s="1"/>
  <c r="O260" i="24"/>
  <c r="O157" i="24"/>
  <c r="P147" i="24"/>
  <c r="Q147" i="24" s="1"/>
  <c r="J172" i="24"/>
  <c r="K157" i="24"/>
  <c r="K172" i="24" s="1"/>
  <c r="E187" i="24"/>
  <c r="O8" i="24"/>
  <c r="I8" i="24"/>
  <c r="J8" i="24"/>
  <c r="E8" i="24"/>
  <c r="P8" i="24"/>
  <c r="E22" i="1"/>
  <c r="E226" i="24" s="1"/>
  <c r="Q22" i="1"/>
  <c r="Q226" i="24" s="1"/>
  <c r="Q8" i="24"/>
  <c r="K8" i="24"/>
  <c r="F8" i="24"/>
  <c r="M8" i="24"/>
  <c r="O146" i="24"/>
  <c r="N8" i="24"/>
  <c r="L8" i="24"/>
  <c r="E146" i="24"/>
  <c r="G8" i="24"/>
  <c r="J146" i="24"/>
  <c r="J156" i="24" s="1"/>
  <c r="H8" i="24"/>
  <c r="O22" i="1"/>
  <c r="O226" i="24" s="1"/>
  <c r="P22" i="1"/>
  <c r="P226" i="24" s="1"/>
  <c r="F145" i="24"/>
  <c r="G145" i="24" s="1"/>
  <c r="E155" i="24"/>
  <c r="J155" i="24"/>
  <c r="P145" i="24"/>
  <c r="O170" i="24"/>
  <c r="G22" i="12"/>
  <c r="G25" i="12" s="1"/>
  <c r="G106" i="1" s="1"/>
  <c r="E144" i="24"/>
  <c r="F144" i="24" s="1"/>
  <c r="G144" i="24" s="1"/>
  <c r="O144" i="24"/>
  <c r="P144" i="24" s="1"/>
  <c r="Q144" i="24" s="1"/>
  <c r="L120" i="24"/>
  <c r="J311" i="24"/>
  <c r="J120" i="24"/>
  <c r="K120" i="24"/>
  <c r="I311" i="24"/>
  <c r="I120" i="24"/>
  <c r="Q120" i="24"/>
  <c r="L104" i="24"/>
  <c r="N33" i="24"/>
  <c r="F33" i="24"/>
  <c r="H282" i="24"/>
  <c r="H105" i="24" s="1"/>
  <c r="H66" i="6"/>
  <c r="H347" i="24" s="1"/>
  <c r="E33" i="24"/>
  <c r="K33" i="24"/>
  <c r="P33" i="24"/>
  <c r="K95" i="24"/>
  <c r="K90" i="24"/>
  <c r="K85" i="24"/>
  <c r="J151" i="6"/>
  <c r="J437" i="24" s="1"/>
  <c r="J101" i="24" s="1"/>
  <c r="J427" i="24"/>
  <c r="F150" i="6"/>
  <c r="F436" i="24" s="1"/>
  <c r="F100" i="24" s="1"/>
  <c r="F426" i="24"/>
  <c r="J97" i="24"/>
  <c r="J87" i="24"/>
  <c r="J92" i="24"/>
  <c r="P97" i="24"/>
  <c r="P92" i="24"/>
  <c r="P87" i="24"/>
  <c r="K97" i="24"/>
  <c r="K87" i="24"/>
  <c r="K92" i="24"/>
  <c r="L151" i="6"/>
  <c r="L437" i="24" s="1"/>
  <c r="L101" i="24" s="1"/>
  <c r="L427" i="24"/>
  <c r="P151" i="6"/>
  <c r="P437" i="24" s="1"/>
  <c r="P101" i="24" s="1"/>
  <c r="P427" i="24"/>
  <c r="Q438" i="24"/>
  <c r="Q102" i="24" s="1"/>
  <c r="Q428" i="24"/>
  <c r="O95" i="24"/>
  <c r="O85" i="24"/>
  <c r="O90" i="24"/>
  <c r="N151" i="6"/>
  <c r="N437" i="24" s="1"/>
  <c r="N101" i="24" s="1"/>
  <c r="N427" i="24"/>
  <c r="E151" i="6"/>
  <c r="E437" i="24" s="1"/>
  <c r="E101" i="24" s="1"/>
  <c r="E427" i="24"/>
  <c r="N95" i="24"/>
  <c r="N90" i="24"/>
  <c r="N85" i="24"/>
  <c r="K151" i="6"/>
  <c r="K437" i="24" s="1"/>
  <c r="K101" i="24" s="1"/>
  <c r="K427" i="24"/>
  <c r="I95" i="24"/>
  <c r="I90" i="24"/>
  <c r="I85" i="24"/>
  <c r="H96" i="24"/>
  <c r="H86" i="24"/>
  <c r="Q437" i="24"/>
  <c r="Q101" i="24" s="1"/>
  <c r="Q427" i="24"/>
  <c r="Q368" i="24"/>
  <c r="F157" i="6"/>
  <c r="P95" i="24"/>
  <c r="P90" i="24"/>
  <c r="P85" i="24"/>
  <c r="J95" i="24"/>
  <c r="J90" i="24"/>
  <c r="J85" i="24"/>
  <c r="G151" i="6"/>
  <c r="G437" i="24" s="1"/>
  <c r="G101" i="24" s="1"/>
  <c r="G427" i="24"/>
  <c r="E150" i="6"/>
  <c r="E436" i="24" s="1"/>
  <c r="E100" i="24" s="1"/>
  <c r="E426" i="24"/>
  <c r="E87" i="24"/>
  <c r="E92" i="24"/>
  <c r="E97" i="24"/>
  <c r="L95" i="24"/>
  <c r="L90" i="24"/>
  <c r="L85" i="24"/>
  <c r="F151" i="6"/>
  <c r="F437" i="24" s="1"/>
  <c r="F101" i="24" s="1"/>
  <c r="F427" i="24"/>
  <c r="Q436" i="24"/>
  <c r="Q100" i="24" s="1"/>
  <c r="Q426" i="24"/>
  <c r="M149" i="6"/>
  <c r="M435" i="24" s="1"/>
  <c r="Q415" i="24"/>
  <c r="G97" i="24"/>
  <c r="G87" i="24"/>
  <c r="G92" i="24"/>
  <c r="M96" i="24"/>
  <c r="M86" i="24"/>
  <c r="M91" i="24"/>
  <c r="F87" i="24"/>
  <c r="F97" i="24"/>
  <c r="F92" i="24"/>
  <c r="G95" i="24"/>
  <c r="G85" i="24"/>
  <c r="G90" i="24"/>
  <c r="O151" i="6"/>
  <c r="O437" i="24" s="1"/>
  <c r="O101" i="24" s="1"/>
  <c r="O427" i="24"/>
  <c r="I151" i="6"/>
  <c r="I437" i="24" s="1"/>
  <c r="I101" i="24" s="1"/>
  <c r="I427" i="24"/>
  <c r="Q291" i="24"/>
  <c r="I97" i="24"/>
  <c r="I87" i="24"/>
  <c r="I92" i="24"/>
  <c r="M95" i="24"/>
  <c r="M90" i="24"/>
  <c r="M85" i="24"/>
  <c r="H92" i="24"/>
  <c r="H97" i="24"/>
  <c r="H87" i="24"/>
  <c r="M155" i="6"/>
  <c r="M156" i="6"/>
  <c r="G157" i="6"/>
  <c r="J35" i="24"/>
  <c r="Q336" i="24"/>
  <c r="E34" i="24"/>
  <c r="Q349" i="24"/>
  <c r="Q35" i="24" s="1"/>
  <c r="Q334" i="24"/>
  <c r="O33" i="24"/>
  <c r="E6" i="24"/>
  <c r="F6" i="24"/>
  <c r="G6" i="24"/>
  <c r="E68" i="1"/>
  <c r="M68" i="1"/>
  <c r="H68" i="1"/>
  <c r="O68" i="1"/>
  <c r="F15" i="1"/>
  <c r="F219" i="24" s="1"/>
  <c r="D68" i="1"/>
  <c r="K68" i="1"/>
  <c r="F68" i="1"/>
  <c r="L68" i="1"/>
  <c r="Q68" i="1"/>
  <c r="G68" i="1"/>
  <c r="N68" i="1"/>
  <c r="P68" i="1"/>
  <c r="J68" i="1"/>
  <c r="G15" i="1"/>
  <c r="G219" i="24" s="1"/>
  <c r="E15" i="1"/>
  <c r="M21" i="1"/>
  <c r="M225" i="24" s="1"/>
  <c r="F8" i="13"/>
  <c r="F70" i="13" s="1"/>
  <c r="F180" i="13" s="1"/>
  <c r="F19" i="22"/>
  <c r="F45" i="22" s="1"/>
  <c r="H5" i="1"/>
  <c r="D19" i="20"/>
  <c r="D45" i="20" s="1"/>
  <c r="D47" i="20" s="1"/>
  <c r="D49" i="20" s="1"/>
  <c r="D7" i="13"/>
  <c r="D69" i="13" s="1"/>
  <c r="D179" i="13" s="1"/>
  <c r="G7" i="13"/>
  <c r="G69" i="13" s="1"/>
  <c r="G179" i="13" s="1"/>
  <c r="G19" i="20"/>
  <c r="G45" i="20" s="1"/>
  <c r="E7" i="13"/>
  <c r="E69" i="13" s="1"/>
  <c r="E179" i="13" s="1"/>
  <c r="E19" i="20"/>
  <c r="E45" i="20" s="1"/>
  <c r="F7" i="13"/>
  <c r="F69" i="13" s="1"/>
  <c r="F179" i="13" s="1"/>
  <c r="F19" i="20"/>
  <c r="F45" i="20" s="1"/>
  <c r="H7" i="13"/>
  <c r="H19" i="20"/>
  <c r="H45" i="20" s="1"/>
  <c r="L7" i="13"/>
  <c r="L69" i="13" s="1"/>
  <c r="L179" i="13" s="1"/>
  <c r="L19" i="20"/>
  <c r="L45" i="20" s="1"/>
  <c r="F21" i="1"/>
  <c r="F225" i="24" s="1"/>
  <c r="N21" i="1"/>
  <c r="N225" i="24" s="1"/>
  <c r="O21" i="1"/>
  <c r="O225" i="24" s="1"/>
  <c r="L68" i="13"/>
  <c r="G19" i="14"/>
  <c r="G45" i="14" s="1"/>
  <c r="G6" i="13"/>
  <c r="F19" i="14"/>
  <c r="F45" i="14" s="1"/>
  <c r="F6" i="13"/>
  <c r="D19" i="14"/>
  <c r="D45" i="14" s="1"/>
  <c r="D47" i="14" s="1"/>
  <c r="D49" i="14" s="1"/>
  <c r="D6" i="13"/>
  <c r="Q169" i="13"/>
  <c r="J166" i="13"/>
  <c r="G166" i="13"/>
  <c r="D190" i="13"/>
  <c r="E166" i="13"/>
  <c r="F166" i="13"/>
  <c r="I107" i="6"/>
  <c r="I393" i="24" s="1"/>
  <c r="I199" i="24" s="1"/>
  <c r="I65" i="6"/>
  <c r="I346" i="24" s="1"/>
  <c r="I197" i="24" s="1"/>
  <c r="E107" i="6"/>
  <c r="E393" i="24" s="1"/>
  <c r="E199" i="24" s="1"/>
  <c r="F107" i="6"/>
  <c r="F393" i="24" s="1"/>
  <c r="F199" i="24" s="1"/>
  <c r="J107" i="6"/>
  <c r="J393" i="24" s="1"/>
  <c r="J199" i="24" s="1"/>
  <c r="R199" i="24"/>
  <c r="K107" i="6"/>
  <c r="K393" i="24" s="1"/>
  <c r="K199" i="24" s="1"/>
  <c r="G107" i="6"/>
  <c r="G393" i="24" s="1"/>
  <c r="G199" i="24" s="1"/>
  <c r="J139" i="6"/>
  <c r="J425" i="24" s="1"/>
  <c r="Q425" i="24"/>
  <c r="G139" i="6"/>
  <c r="G425" i="24" s="1"/>
  <c r="E139" i="6"/>
  <c r="E425" i="24" s="1"/>
  <c r="L139" i="6"/>
  <c r="L425" i="24" s="1"/>
  <c r="F139" i="6"/>
  <c r="F425" i="24" s="1"/>
  <c r="P139" i="6"/>
  <c r="P425" i="24" s="1"/>
  <c r="K139" i="6"/>
  <c r="K425" i="24" s="1"/>
  <c r="I139" i="6"/>
  <c r="I425" i="24" s="1"/>
  <c r="N139" i="6"/>
  <c r="N425" i="24" s="1"/>
  <c r="O139" i="6"/>
  <c r="O425" i="24" s="1"/>
  <c r="H5" i="6"/>
  <c r="M167" i="13"/>
  <c r="D15" i="1"/>
  <c r="E21" i="15"/>
  <c r="E5" i="22" s="1"/>
  <c r="I22" i="1"/>
  <c r="I226" i="24" s="1"/>
  <c r="M22" i="1"/>
  <c r="M226" i="24" s="1"/>
  <c r="K21" i="1"/>
  <c r="K225" i="24" s="1"/>
  <c r="G22" i="1"/>
  <c r="G226" i="24" s="1"/>
  <c r="I21" i="1"/>
  <c r="I225" i="24" s="1"/>
  <c r="J22" i="1"/>
  <c r="J226" i="24" s="1"/>
  <c r="H5" i="14"/>
  <c r="K22" i="1"/>
  <c r="K226" i="24" s="1"/>
  <c r="L22" i="1"/>
  <c r="L226" i="24" s="1"/>
  <c r="J21" i="1"/>
  <c r="J225" i="24" s="1"/>
  <c r="E21" i="1"/>
  <c r="E225" i="24" s="1"/>
  <c r="N22" i="1"/>
  <c r="N226" i="24" s="1"/>
  <c r="Q21" i="1"/>
  <c r="Q225" i="24" s="1"/>
  <c r="H140" i="6"/>
  <c r="D21" i="1"/>
  <c r="D166" i="13"/>
  <c r="K167" i="13"/>
  <c r="H38" i="7"/>
  <c r="H39" i="7" s="1"/>
  <c r="H38" i="10"/>
  <c r="H39" i="10" s="1"/>
  <c r="H151" i="6"/>
  <c r="H437" i="24" s="1"/>
  <c r="H109" i="6"/>
  <c r="H395" i="24" s="1"/>
  <c r="H108" i="6"/>
  <c r="I166" i="13"/>
  <c r="G150" i="6"/>
  <c r="G436" i="24" s="1"/>
  <c r="G100" i="24" s="1"/>
  <c r="I150" i="6"/>
  <c r="I436" i="24" s="1"/>
  <c r="I100" i="24" s="1"/>
  <c r="J150" i="6"/>
  <c r="J436" i="24" s="1"/>
  <c r="J100" i="24" s="1"/>
  <c r="L150" i="6"/>
  <c r="L436" i="24" s="1"/>
  <c r="L100" i="24" s="1"/>
  <c r="N150" i="6"/>
  <c r="N436" i="24" s="1"/>
  <c r="N100" i="24" s="1"/>
  <c r="K150" i="6"/>
  <c r="K436" i="24" s="1"/>
  <c r="K100" i="24" s="1"/>
  <c r="D151" i="6"/>
  <c r="P150" i="6"/>
  <c r="P436" i="24" s="1"/>
  <c r="P100" i="24" s="1"/>
  <c r="O150" i="6"/>
  <c r="O436" i="24" s="1"/>
  <c r="O100" i="24" s="1"/>
  <c r="H21" i="1"/>
  <c r="H225" i="24" s="1"/>
  <c r="D22" i="1"/>
  <c r="G21" i="1"/>
  <c r="G225" i="24" s="1"/>
  <c r="L21" i="1"/>
  <c r="L225" i="24" s="1"/>
  <c r="P21" i="1"/>
  <c r="P225" i="24" s="1"/>
  <c r="H209" i="24" l="1"/>
  <c r="J144" i="24" s="1"/>
  <c r="K144" i="24" s="1"/>
  <c r="L144" i="24" s="1"/>
  <c r="H42" i="24"/>
  <c r="H101" i="24"/>
  <c r="N311" i="24"/>
  <c r="N79" i="24"/>
  <c r="N120" i="24"/>
  <c r="C47" i="13"/>
  <c r="O311" i="24"/>
  <c r="O120" i="24"/>
  <c r="O74" i="24"/>
  <c r="G74" i="24"/>
  <c r="P79" i="24"/>
  <c r="D74" i="24"/>
  <c r="H43" i="10"/>
  <c r="H43" i="7"/>
  <c r="E311" i="24"/>
  <c r="E78" i="24" s="1"/>
  <c r="P311" i="24"/>
  <c r="E79" i="24"/>
  <c r="G120" i="24"/>
  <c r="E120" i="24"/>
  <c r="P120" i="24"/>
  <c r="F120" i="24"/>
  <c r="F311" i="24"/>
  <c r="F78" i="24" s="1"/>
  <c r="F74" i="24"/>
  <c r="D120" i="24"/>
  <c r="C5" i="6"/>
  <c r="H160" i="6"/>
  <c r="D91" i="24"/>
  <c r="D311" i="24"/>
  <c r="C66" i="6"/>
  <c r="D437" i="24"/>
  <c r="D101" i="24" s="1"/>
  <c r="C151" i="6"/>
  <c r="D86" i="24"/>
  <c r="D96" i="24"/>
  <c r="K311" i="24"/>
  <c r="K78" i="24" s="1"/>
  <c r="C67" i="6"/>
  <c r="C5" i="1"/>
  <c r="Q5" i="22"/>
  <c r="Q19" i="22" s="1"/>
  <c r="Q45" i="22" s="1"/>
  <c r="I68" i="1"/>
  <c r="I78" i="1" s="1"/>
  <c r="I8" i="13"/>
  <c r="I70" i="13" s="1"/>
  <c r="I180" i="13" s="1"/>
  <c r="C63" i="1"/>
  <c r="C62" i="1"/>
  <c r="D195" i="13"/>
  <c r="I61" i="1"/>
  <c r="I260" i="24" s="1"/>
  <c r="C109" i="6"/>
  <c r="J22" i="4"/>
  <c r="C108" i="6"/>
  <c r="D6" i="24"/>
  <c r="D225" i="24"/>
  <c r="C21" i="1"/>
  <c r="D226" i="24"/>
  <c r="C22" i="1"/>
  <c r="D219" i="24"/>
  <c r="J7" i="13"/>
  <c r="J69" i="13" s="1"/>
  <c r="J179" i="13" s="1"/>
  <c r="G311" i="24"/>
  <c r="G119" i="24" s="1"/>
  <c r="H313" i="24"/>
  <c r="H121" i="24" s="1"/>
  <c r="H106" i="24"/>
  <c r="Q383" i="24"/>
  <c r="Q84" i="24" s="1"/>
  <c r="Q121" i="13"/>
  <c r="Q13" i="23" s="1"/>
  <c r="Q166" i="13"/>
  <c r="I22" i="15"/>
  <c r="M8" i="13"/>
  <c r="M70" i="13" s="1"/>
  <c r="M19" i="22"/>
  <c r="O8" i="13"/>
  <c r="O70" i="13" s="1"/>
  <c r="O19" i="22"/>
  <c r="K22" i="12"/>
  <c r="K19" i="14"/>
  <c r="K45" i="14" s="1"/>
  <c r="J17" i="12"/>
  <c r="J19" i="12" s="1"/>
  <c r="J21" i="12" s="1"/>
  <c r="J22" i="12" s="1"/>
  <c r="F60" i="1"/>
  <c r="F259" i="24" s="1"/>
  <c r="D60" i="1"/>
  <c r="K22" i="4"/>
  <c r="K5" i="20"/>
  <c r="I17" i="12"/>
  <c r="I19" i="12" s="1"/>
  <c r="I21" i="12" s="1"/>
  <c r="I5" i="20"/>
  <c r="I22" i="4"/>
  <c r="N22" i="15"/>
  <c r="N25" i="15" s="1"/>
  <c r="N108" i="1" s="1"/>
  <c r="N5" i="22"/>
  <c r="J5" i="22"/>
  <c r="J22" i="15"/>
  <c r="K8" i="13"/>
  <c r="K70" i="13" s="1"/>
  <c r="K180" i="13" s="1"/>
  <c r="K19" i="22"/>
  <c r="K45" i="22" s="1"/>
  <c r="H25" i="12"/>
  <c r="H101" i="1"/>
  <c r="K107" i="1"/>
  <c r="J107" i="1"/>
  <c r="I107" i="1"/>
  <c r="K106" i="1"/>
  <c r="J108" i="1"/>
  <c r="I108" i="1"/>
  <c r="M107" i="1"/>
  <c r="Q25" i="15"/>
  <c r="P108" i="1"/>
  <c r="O107" i="1"/>
  <c r="E443" i="24"/>
  <c r="P169" i="6"/>
  <c r="E155" i="6"/>
  <c r="E441" i="24" s="1"/>
  <c r="J169" i="6"/>
  <c r="Q122" i="24"/>
  <c r="E156" i="6"/>
  <c r="E442" i="24" s="1"/>
  <c r="Q167" i="6"/>
  <c r="I169" i="6"/>
  <c r="H169" i="6"/>
  <c r="G156" i="6"/>
  <c r="G442" i="24" s="1"/>
  <c r="F156" i="6"/>
  <c r="F168" i="6" s="1"/>
  <c r="I156" i="6"/>
  <c r="I168" i="6" s="1"/>
  <c r="K169" i="6"/>
  <c r="M5" i="20"/>
  <c r="M19" i="20" s="1"/>
  <c r="M45" i="20" s="1"/>
  <c r="O5" i="20"/>
  <c r="O19" i="20" s="1"/>
  <c r="O45" i="20" s="1"/>
  <c r="N156" i="6"/>
  <c r="N168" i="6" s="1"/>
  <c r="I196" i="24"/>
  <c r="I200" i="24"/>
  <c r="H34" i="24"/>
  <c r="AZ20" i="29"/>
  <c r="AZ18" i="29"/>
  <c r="Q81" i="24"/>
  <c r="Q76" i="24"/>
  <c r="I78" i="24"/>
  <c r="J78" i="24"/>
  <c r="J73" i="24"/>
  <c r="I73" i="24"/>
  <c r="N22" i="4"/>
  <c r="N25" i="4" s="1"/>
  <c r="N107" i="1" s="1"/>
  <c r="N5" i="20"/>
  <c r="P157" i="24"/>
  <c r="P172" i="24" s="1"/>
  <c r="L172" i="24"/>
  <c r="M147" i="24" s="1"/>
  <c r="F182" i="24"/>
  <c r="F187" i="24" s="1"/>
  <c r="G187" i="24" s="1"/>
  <c r="H172" i="24" s="1"/>
  <c r="P5" i="20"/>
  <c r="P22" i="4"/>
  <c r="P25" i="4" s="1"/>
  <c r="Q22" i="4"/>
  <c r="Q5" i="20"/>
  <c r="N17" i="12"/>
  <c r="N19" i="12" s="1"/>
  <c r="N21" i="12" s="1"/>
  <c r="N5" i="14" s="1"/>
  <c r="N19" i="14" s="1"/>
  <c r="N45" i="14" s="1"/>
  <c r="P22" i="12"/>
  <c r="Q17" i="12"/>
  <c r="Q19" i="12" s="1"/>
  <c r="Q21" i="12" s="1"/>
  <c r="P6" i="13"/>
  <c r="P68" i="13" s="1"/>
  <c r="P178" i="13" s="1"/>
  <c r="P19" i="14"/>
  <c r="P45" i="14" s="1"/>
  <c r="M5" i="14"/>
  <c r="M19" i="14" s="1"/>
  <c r="M22" i="12"/>
  <c r="O5" i="14"/>
  <c r="O22" i="12"/>
  <c r="O25" i="12" s="1"/>
  <c r="O106" i="1" s="1"/>
  <c r="Q260" i="24"/>
  <c r="M61" i="1"/>
  <c r="N260" i="24"/>
  <c r="J187" i="24"/>
  <c r="K182" i="24"/>
  <c r="K187" i="24" s="1"/>
  <c r="O172" i="24"/>
  <c r="E156" i="24"/>
  <c r="F146" i="24"/>
  <c r="G146" i="24" s="1"/>
  <c r="P146" i="24"/>
  <c r="Q146" i="24" s="1"/>
  <c r="O156" i="24"/>
  <c r="O171" i="24" s="1"/>
  <c r="K146" i="24"/>
  <c r="L146" i="24" s="1"/>
  <c r="J171" i="24"/>
  <c r="J170" i="24"/>
  <c r="K155" i="24"/>
  <c r="K170" i="24" s="1"/>
  <c r="E170" i="24"/>
  <c r="F155" i="24"/>
  <c r="F170" i="24" s="1"/>
  <c r="Q145" i="24"/>
  <c r="P155" i="24"/>
  <c r="P170" i="24" s="1"/>
  <c r="E154" i="24"/>
  <c r="L119" i="24"/>
  <c r="I119" i="24"/>
  <c r="J119" i="24"/>
  <c r="L78" i="24"/>
  <c r="L73" i="24"/>
  <c r="H312" i="24"/>
  <c r="H33" i="24"/>
  <c r="H426" i="24"/>
  <c r="F149" i="6"/>
  <c r="F435" i="24" s="1"/>
  <c r="F99" i="24" s="1"/>
  <c r="E149" i="6"/>
  <c r="E435" i="24" s="1"/>
  <c r="E99" i="24" s="1"/>
  <c r="J94" i="24"/>
  <c r="J89" i="24"/>
  <c r="J84" i="24"/>
  <c r="G169" i="6"/>
  <c r="G443" i="24"/>
  <c r="I96" i="24"/>
  <c r="I86" i="24"/>
  <c r="I91" i="24"/>
  <c r="G96" i="24"/>
  <c r="G91" i="24"/>
  <c r="G86" i="24"/>
  <c r="F169" i="6"/>
  <c r="F443" i="24"/>
  <c r="H394" i="24"/>
  <c r="K94" i="24"/>
  <c r="K84" i="24"/>
  <c r="K89" i="24"/>
  <c r="F94" i="24"/>
  <c r="F84" i="24"/>
  <c r="F89" i="24"/>
  <c r="E94" i="24"/>
  <c r="E84" i="24"/>
  <c r="E89" i="24"/>
  <c r="G94" i="24"/>
  <c r="G84" i="24"/>
  <c r="G89" i="24"/>
  <c r="Q435" i="24"/>
  <c r="O96" i="24"/>
  <c r="O91" i="24"/>
  <c r="O86" i="24"/>
  <c r="Q95" i="24"/>
  <c r="Q90" i="24"/>
  <c r="Q85" i="24"/>
  <c r="Q96" i="24"/>
  <c r="Q91" i="24"/>
  <c r="Q86" i="24"/>
  <c r="E96" i="24"/>
  <c r="E86" i="24"/>
  <c r="E91" i="24"/>
  <c r="Q97" i="24"/>
  <c r="Q92" i="24"/>
  <c r="Q87" i="24"/>
  <c r="P96" i="24"/>
  <c r="P86" i="24"/>
  <c r="P91" i="24"/>
  <c r="L96" i="24"/>
  <c r="L91" i="24"/>
  <c r="L86" i="24"/>
  <c r="F95" i="24"/>
  <c r="F90" i="24"/>
  <c r="F85" i="24"/>
  <c r="J96" i="24"/>
  <c r="J86" i="24"/>
  <c r="J91" i="24"/>
  <c r="M441" i="24"/>
  <c r="M167" i="6"/>
  <c r="E95" i="24"/>
  <c r="E85" i="24"/>
  <c r="E90" i="24"/>
  <c r="H281" i="24"/>
  <c r="I94" i="24"/>
  <c r="I89" i="24"/>
  <c r="I84" i="24"/>
  <c r="P94" i="24"/>
  <c r="P84" i="24"/>
  <c r="P89" i="24"/>
  <c r="M442" i="24"/>
  <c r="M168" i="6"/>
  <c r="F96" i="24"/>
  <c r="F91" i="24"/>
  <c r="F86" i="24"/>
  <c r="K96" i="24"/>
  <c r="K91" i="24"/>
  <c r="K86" i="24"/>
  <c r="N96" i="24"/>
  <c r="N86" i="24"/>
  <c r="N91" i="24"/>
  <c r="F155" i="6"/>
  <c r="L156" i="6"/>
  <c r="P156" i="6"/>
  <c r="O156" i="6"/>
  <c r="Q443" i="24"/>
  <c r="J156" i="6"/>
  <c r="K156" i="6"/>
  <c r="I32" i="24"/>
  <c r="E20" i="1"/>
  <c r="E224" i="24" s="1"/>
  <c r="E219" i="24"/>
  <c r="G20" i="1"/>
  <c r="G224" i="24" s="1"/>
  <c r="F20" i="1"/>
  <c r="F224" i="24" s="1"/>
  <c r="P78" i="1"/>
  <c r="G78" i="1"/>
  <c r="F78" i="1"/>
  <c r="O78" i="1"/>
  <c r="M78" i="1"/>
  <c r="J78" i="1"/>
  <c r="N78" i="1"/>
  <c r="Q78" i="1"/>
  <c r="K78" i="1"/>
  <c r="H78" i="1"/>
  <c r="E78" i="1"/>
  <c r="L78" i="1"/>
  <c r="D78" i="1"/>
  <c r="E8" i="13"/>
  <c r="H15" i="1"/>
  <c r="H219" i="24" s="1"/>
  <c r="E46" i="20"/>
  <c r="L178" i="13"/>
  <c r="E46" i="14"/>
  <c r="K68" i="13"/>
  <c r="D68" i="13"/>
  <c r="E19" i="14"/>
  <c r="E45" i="14" s="1"/>
  <c r="E6" i="13"/>
  <c r="E5" i="13" s="1"/>
  <c r="G68" i="13"/>
  <c r="H19" i="14"/>
  <c r="H45" i="14" s="1"/>
  <c r="H6" i="13"/>
  <c r="F68" i="13"/>
  <c r="J65" i="6"/>
  <c r="J346" i="24" s="1"/>
  <c r="J196" i="24" s="1"/>
  <c r="K65" i="6"/>
  <c r="K346" i="24" s="1"/>
  <c r="E65" i="6"/>
  <c r="E346" i="24" s="1"/>
  <c r="K166" i="13"/>
  <c r="D189" i="13"/>
  <c r="L65" i="6"/>
  <c r="L346" i="24" s="1"/>
  <c r="D65" i="6"/>
  <c r="D346" i="24" s="1"/>
  <c r="F65" i="6"/>
  <c r="F346" i="24" s="1"/>
  <c r="I149" i="6"/>
  <c r="I435" i="24" s="1"/>
  <c r="I99" i="24" s="1"/>
  <c r="P149" i="6"/>
  <c r="P435" i="24" s="1"/>
  <c r="L149" i="6"/>
  <c r="L435" i="24" s="1"/>
  <c r="J149" i="6"/>
  <c r="J435" i="24" s="1"/>
  <c r="J99" i="24" s="1"/>
  <c r="O149" i="6"/>
  <c r="O435" i="24" s="1"/>
  <c r="G65" i="6"/>
  <c r="G346" i="24" s="1"/>
  <c r="H139" i="6"/>
  <c r="R197" i="24"/>
  <c r="N149" i="6"/>
  <c r="N435" i="24" s="1"/>
  <c r="K149" i="6"/>
  <c r="K435" i="24" s="1"/>
  <c r="K99" i="24" s="1"/>
  <c r="G149" i="6"/>
  <c r="G435" i="24" s="1"/>
  <c r="G99" i="24" s="1"/>
  <c r="H107" i="6"/>
  <c r="D20" i="1"/>
  <c r="D224" i="24" s="1"/>
  <c r="H156" i="6"/>
  <c r="H150" i="6"/>
  <c r="H69" i="13"/>
  <c r="D156" i="6"/>
  <c r="J155" i="6"/>
  <c r="H167" i="13"/>
  <c r="H168" i="13"/>
  <c r="G155" i="6"/>
  <c r="K155" i="6"/>
  <c r="N155" i="6"/>
  <c r="P155" i="6"/>
  <c r="O155" i="6"/>
  <c r="L155" i="6"/>
  <c r="I155" i="6"/>
  <c r="H6" i="24" l="1"/>
  <c r="F73" i="24"/>
  <c r="E119" i="24"/>
  <c r="F119" i="24"/>
  <c r="E73" i="24"/>
  <c r="K119" i="24"/>
  <c r="K73" i="24"/>
  <c r="H100" i="1"/>
  <c r="C101" i="1"/>
  <c r="Q8" i="13"/>
  <c r="Q70" i="13" s="1"/>
  <c r="Q180" i="13" s="1"/>
  <c r="C68" i="1"/>
  <c r="C78" i="1"/>
  <c r="C61" i="1"/>
  <c r="C156" i="6"/>
  <c r="D194" i="13"/>
  <c r="E183" i="13"/>
  <c r="E184" i="13"/>
  <c r="E189" i="13" s="1"/>
  <c r="E194" i="13" s="1"/>
  <c r="D259" i="24"/>
  <c r="G73" i="24"/>
  <c r="G78" i="24"/>
  <c r="Q94" i="24"/>
  <c r="H80" i="24"/>
  <c r="H75" i="24"/>
  <c r="Q89" i="24"/>
  <c r="J5" i="14"/>
  <c r="J6" i="13" s="1"/>
  <c r="J68" i="13" s="1"/>
  <c r="Q19" i="20"/>
  <c r="Q45" i="20" s="1"/>
  <c r="Q7" i="13"/>
  <c r="Q69" i="13" s="1"/>
  <c r="Q179" i="13" s="1"/>
  <c r="K19" i="20"/>
  <c r="K45" i="20" s="1"/>
  <c r="K7" i="13"/>
  <c r="K69" i="13" s="1"/>
  <c r="K179" i="13" s="1"/>
  <c r="I5" i="14"/>
  <c r="I22" i="12"/>
  <c r="I19" i="20"/>
  <c r="I45" i="20" s="1"/>
  <c r="I7" i="13"/>
  <c r="I69" i="13" s="1"/>
  <c r="I179" i="13" s="1"/>
  <c r="J8" i="13"/>
  <c r="J70" i="13" s="1"/>
  <c r="J180" i="13" s="1"/>
  <c r="J19" i="22"/>
  <c r="J45" i="22" s="1"/>
  <c r="N8" i="13"/>
  <c r="N70" i="13" s="1"/>
  <c r="N19" i="22"/>
  <c r="H74" i="24"/>
  <c r="H79" i="24"/>
  <c r="H106" i="1"/>
  <c r="EP9" i="29"/>
  <c r="EO18" i="29" s="1"/>
  <c r="J106" i="1"/>
  <c r="I106" i="1"/>
  <c r="R25" i="15"/>
  <c r="Q108" i="1"/>
  <c r="Q25" i="4"/>
  <c r="P107" i="1"/>
  <c r="E167" i="6"/>
  <c r="F442" i="24"/>
  <c r="Q441" i="24"/>
  <c r="G168" i="6"/>
  <c r="E168" i="6"/>
  <c r="N442" i="24"/>
  <c r="I442" i="24"/>
  <c r="M7" i="13"/>
  <c r="M69" i="13" s="1"/>
  <c r="M179" i="13" s="1"/>
  <c r="O7" i="13"/>
  <c r="O69" i="13" s="1"/>
  <c r="O179" i="13" s="1"/>
  <c r="P25" i="12"/>
  <c r="P106" i="1" s="1"/>
  <c r="F197" i="24"/>
  <c r="F200" i="24"/>
  <c r="E197" i="24"/>
  <c r="E200" i="24"/>
  <c r="F196" i="24"/>
  <c r="G197" i="24"/>
  <c r="G200" i="24"/>
  <c r="J197" i="24"/>
  <c r="J200" i="24"/>
  <c r="G196" i="24"/>
  <c r="R196" i="24"/>
  <c r="E196" i="24"/>
  <c r="L197" i="24"/>
  <c r="L200" i="24"/>
  <c r="R200" i="24"/>
  <c r="K197" i="24"/>
  <c r="K200" i="24"/>
  <c r="K196" i="24"/>
  <c r="L196" i="24"/>
  <c r="H187" i="24"/>
  <c r="N19" i="20"/>
  <c r="N45" i="20" s="1"/>
  <c r="N7" i="13"/>
  <c r="N69" i="13" s="1"/>
  <c r="N179" i="13" s="1"/>
  <c r="L187" i="24"/>
  <c r="M187" i="24" s="1"/>
  <c r="F156" i="24"/>
  <c r="F171" i="24" s="1"/>
  <c r="G170" i="24"/>
  <c r="H145" i="24" s="1"/>
  <c r="DL11" i="29" s="1"/>
  <c r="P19" i="20"/>
  <c r="P45" i="20" s="1"/>
  <c r="P7" i="13"/>
  <c r="P69" i="13" s="1"/>
  <c r="P179" i="13" s="1"/>
  <c r="N22" i="12"/>
  <c r="N25" i="12" s="1"/>
  <c r="N106" i="1" s="1"/>
  <c r="N6" i="13"/>
  <c r="N68" i="13" s="1"/>
  <c r="Q5" i="14"/>
  <c r="Q22" i="12"/>
  <c r="M6" i="13"/>
  <c r="M68" i="13" s="1"/>
  <c r="O6" i="13"/>
  <c r="O68" i="13" s="1"/>
  <c r="O178" i="13" s="1"/>
  <c r="O19" i="14"/>
  <c r="O45" i="14" s="1"/>
  <c r="M260" i="24"/>
  <c r="O180" i="24" s="1"/>
  <c r="O185" i="24" s="1"/>
  <c r="O187" i="24"/>
  <c r="P182" i="24"/>
  <c r="P187" i="24" s="1"/>
  <c r="Q172" i="24"/>
  <c r="R147" i="24" s="1"/>
  <c r="J154" i="24"/>
  <c r="J169" i="24" s="1"/>
  <c r="E171" i="24"/>
  <c r="J186" i="24"/>
  <c r="O186" i="24"/>
  <c r="K156" i="24"/>
  <c r="K171" i="24" s="1"/>
  <c r="L171" i="24" s="1"/>
  <c r="M146" i="24" s="1"/>
  <c r="DM12" i="29" s="1"/>
  <c r="P156" i="24"/>
  <c r="P171" i="24" s="1"/>
  <c r="Q171" i="24" s="1"/>
  <c r="R146" i="24" s="1"/>
  <c r="DN12" i="29" s="1"/>
  <c r="J185" i="24"/>
  <c r="K180" i="24"/>
  <c r="K185" i="24" s="1"/>
  <c r="E185" i="24"/>
  <c r="F180" i="24"/>
  <c r="F185" i="24" s="1"/>
  <c r="L170" i="24"/>
  <c r="M145" i="24" s="1"/>
  <c r="DM11" i="29" s="1"/>
  <c r="Q170" i="24"/>
  <c r="R145" i="24" s="1"/>
  <c r="DN11" i="29" s="1"/>
  <c r="F32" i="24"/>
  <c r="E32" i="24"/>
  <c r="L32" i="24"/>
  <c r="D32" i="24"/>
  <c r="D200" i="24"/>
  <c r="G32" i="24"/>
  <c r="H311" i="24"/>
  <c r="H120" i="24"/>
  <c r="H104" i="24"/>
  <c r="I441" i="24"/>
  <c r="I167" i="6"/>
  <c r="N441" i="24"/>
  <c r="N167" i="6"/>
  <c r="G441" i="24"/>
  <c r="G167" i="6"/>
  <c r="D442" i="24"/>
  <c r="D168" i="6"/>
  <c r="H442" i="24"/>
  <c r="H168" i="6"/>
  <c r="Q442" i="24"/>
  <c r="Q168" i="6"/>
  <c r="P441" i="24"/>
  <c r="P167" i="6"/>
  <c r="J441" i="24"/>
  <c r="J167" i="6"/>
  <c r="H425" i="24"/>
  <c r="H95" i="24"/>
  <c r="H85" i="24"/>
  <c r="H90" i="24"/>
  <c r="O441" i="24"/>
  <c r="O167" i="6"/>
  <c r="H393" i="24"/>
  <c r="H199" i="24" s="1"/>
  <c r="K442" i="24"/>
  <c r="K168" i="6"/>
  <c r="J442" i="24"/>
  <c r="J168" i="6"/>
  <c r="F441" i="24"/>
  <c r="F167" i="6"/>
  <c r="L441" i="24"/>
  <c r="L167" i="6"/>
  <c r="K154" i="6"/>
  <c r="K440" i="24" s="1"/>
  <c r="K441" i="24"/>
  <c r="K167" i="6"/>
  <c r="H436" i="24"/>
  <c r="H100" i="24" s="1"/>
  <c r="O442" i="24"/>
  <c r="O168" i="6"/>
  <c r="P442" i="24"/>
  <c r="P168" i="6"/>
  <c r="L442" i="24"/>
  <c r="L168" i="6"/>
  <c r="Q169" i="6"/>
  <c r="J32" i="24"/>
  <c r="K32" i="24"/>
  <c r="F154" i="24"/>
  <c r="F169" i="24" s="1"/>
  <c r="E169" i="24"/>
  <c r="L88" i="1"/>
  <c r="H88" i="1"/>
  <c r="Q88" i="1"/>
  <c r="F88" i="1"/>
  <c r="H20" i="1"/>
  <c r="H224" i="24" s="1"/>
  <c r="D88" i="1"/>
  <c r="E88" i="1"/>
  <c r="I88" i="1"/>
  <c r="N88" i="1"/>
  <c r="O88" i="1"/>
  <c r="G88" i="1"/>
  <c r="P88" i="1"/>
  <c r="K88" i="1"/>
  <c r="J88" i="1"/>
  <c r="M88" i="1"/>
  <c r="G5" i="13"/>
  <c r="E47" i="20"/>
  <c r="E49" i="20" s="1"/>
  <c r="K178" i="13"/>
  <c r="E47" i="14"/>
  <c r="E68" i="13"/>
  <c r="F178" i="13"/>
  <c r="G178" i="13"/>
  <c r="H5" i="13"/>
  <c r="H68" i="13"/>
  <c r="H67" i="13" s="1"/>
  <c r="D178" i="13"/>
  <c r="F154" i="6"/>
  <c r="E154" i="6"/>
  <c r="G154" i="6"/>
  <c r="J154" i="6"/>
  <c r="H166" i="13"/>
  <c r="I154" i="6"/>
  <c r="H149" i="6"/>
  <c r="H155" i="6"/>
  <c r="H179" i="13"/>
  <c r="F46" i="14" l="1"/>
  <c r="F47" i="14" s="1"/>
  <c r="F49" i="14" s="1"/>
  <c r="E49" i="14"/>
  <c r="CN8" i="29"/>
  <c r="C168" i="6"/>
  <c r="C88" i="1"/>
  <c r="D188" i="13"/>
  <c r="D193" i="13" s="1"/>
  <c r="C8" i="13"/>
  <c r="C7" i="13"/>
  <c r="G67" i="13"/>
  <c r="G177" i="13"/>
  <c r="J19" i="14"/>
  <c r="J45" i="14" s="1"/>
  <c r="Q19" i="14"/>
  <c r="Q45" i="14" s="1"/>
  <c r="Q6" i="13"/>
  <c r="I6" i="13"/>
  <c r="I68" i="13" s="1"/>
  <c r="I178" i="13" s="1"/>
  <c r="I19" i="14"/>
  <c r="I45" i="14" s="1"/>
  <c r="R108" i="1"/>
  <c r="S25" i="15"/>
  <c r="R25" i="4"/>
  <c r="Q107" i="1"/>
  <c r="Q25" i="12"/>
  <c r="Q106" i="1" s="1"/>
  <c r="K166" i="6"/>
  <c r="K154" i="24"/>
  <c r="K169" i="24" s="1"/>
  <c r="L169" i="24" s="1"/>
  <c r="M144" i="24" s="1"/>
  <c r="M172" i="24"/>
  <c r="G185" i="24"/>
  <c r="H185" i="24" s="1"/>
  <c r="G171" i="24"/>
  <c r="H146" i="24" s="1"/>
  <c r="DL12" i="29" s="1"/>
  <c r="P181" i="24"/>
  <c r="P186" i="24" s="1"/>
  <c r="Q186" i="24" s="1"/>
  <c r="N178" i="13"/>
  <c r="P180" i="24"/>
  <c r="P185" i="24" s="1"/>
  <c r="Q185" i="24" s="1"/>
  <c r="R170" i="24" s="1"/>
  <c r="Q187" i="24"/>
  <c r="K181" i="24"/>
  <c r="K186" i="24" s="1"/>
  <c r="L186" i="24" s="1"/>
  <c r="E186" i="24"/>
  <c r="F181" i="24"/>
  <c r="F186" i="24" s="1"/>
  <c r="L185" i="24"/>
  <c r="H78" i="24"/>
  <c r="H73" i="24"/>
  <c r="E166" i="6"/>
  <c r="E440" i="24"/>
  <c r="H441" i="24"/>
  <c r="H167" i="6"/>
  <c r="H435" i="24"/>
  <c r="H99" i="24" s="1"/>
  <c r="H94" i="24"/>
  <c r="H84" i="24"/>
  <c r="H89" i="24"/>
  <c r="I166" i="6"/>
  <c r="I440" i="24"/>
  <c r="G166" i="6"/>
  <c r="G440" i="24"/>
  <c r="J166" i="6"/>
  <c r="J440" i="24"/>
  <c r="F166" i="6"/>
  <c r="F440" i="24"/>
  <c r="J184" i="24"/>
  <c r="F179" i="24"/>
  <c r="F184" i="24" s="1"/>
  <c r="E184" i="24"/>
  <c r="G169" i="24"/>
  <c r="H144" i="24" s="1"/>
  <c r="O272" i="24"/>
  <c r="K272" i="24"/>
  <c r="K19" i="24" s="1"/>
  <c r="P272" i="24"/>
  <c r="I272" i="24"/>
  <c r="E272" i="24"/>
  <c r="D272" i="24"/>
  <c r="F272" i="24"/>
  <c r="Q272" i="24"/>
  <c r="Q19" i="24" s="1"/>
  <c r="H272" i="24"/>
  <c r="G272" i="24"/>
  <c r="N272" i="24"/>
  <c r="L272" i="24"/>
  <c r="L19" i="24" s="1"/>
  <c r="M272" i="24"/>
  <c r="J272" i="24"/>
  <c r="J19" i="24" s="1"/>
  <c r="F46" i="20"/>
  <c r="H178" i="13"/>
  <c r="H177" i="13" s="1"/>
  <c r="E178" i="13"/>
  <c r="J178" i="13"/>
  <c r="H154" i="6"/>
  <c r="E22" i="15"/>
  <c r="F183" i="13" l="1"/>
  <c r="F188" i="13" s="1"/>
  <c r="F193" i="13" s="1"/>
  <c r="CO28" i="29"/>
  <c r="CM28" i="29"/>
  <c r="CN28" i="29" s="1"/>
  <c r="C6" i="13"/>
  <c r="C33" i="1"/>
  <c r="D5" i="13"/>
  <c r="F5" i="13"/>
  <c r="R107" i="1"/>
  <c r="T25" i="15"/>
  <c r="S108" i="1"/>
  <c r="S25" i="4"/>
  <c r="I46" i="1"/>
  <c r="I56" i="1" s="1"/>
  <c r="I66" i="1" s="1"/>
  <c r="I76" i="1" s="1"/>
  <c r="I86" i="1" s="1"/>
  <c r="I270" i="24" s="1"/>
  <c r="I17" i="24" s="1"/>
  <c r="J47" i="1"/>
  <c r="J57" i="1" s="1"/>
  <c r="J67" i="1" s="1"/>
  <c r="J77" i="1" s="1"/>
  <c r="J87" i="1" s="1"/>
  <c r="J271" i="24" s="1"/>
  <c r="J18" i="24" s="1"/>
  <c r="L47" i="1"/>
  <c r="L57" i="1" s="1"/>
  <c r="L67" i="1" s="1"/>
  <c r="L77" i="1" s="1"/>
  <c r="L87" i="1" s="1"/>
  <c r="L271" i="24" s="1"/>
  <c r="L18" i="24" s="1"/>
  <c r="K46" i="1"/>
  <c r="K56" i="1" s="1"/>
  <c r="K66" i="1" s="1"/>
  <c r="K76" i="1" s="1"/>
  <c r="K86" i="1" s="1"/>
  <c r="K270" i="24" s="1"/>
  <c r="K17" i="24" s="1"/>
  <c r="I47" i="1"/>
  <c r="I57" i="1" s="1"/>
  <c r="I67" i="1" s="1"/>
  <c r="I77" i="1" s="1"/>
  <c r="I87" i="1" s="1"/>
  <c r="I271" i="24" s="1"/>
  <c r="I18" i="24" s="1"/>
  <c r="K47" i="1"/>
  <c r="K57" i="1" s="1"/>
  <c r="K67" i="1" s="1"/>
  <c r="K77" i="1" s="1"/>
  <c r="K87" i="1" s="1"/>
  <c r="K271" i="24" s="1"/>
  <c r="K18" i="24" s="1"/>
  <c r="J46" i="1"/>
  <c r="J56" i="1" s="1"/>
  <c r="J66" i="1" s="1"/>
  <c r="J76" i="1" s="1"/>
  <c r="J86" i="1" s="1"/>
  <c r="J270" i="24" s="1"/>
  <c r="J17" i="24" s="1"/>
  <c r="G47" i="1"/>
  <c r="G57" i="1" s="1"/>
  <c r="G67" i="1" s="1"/>
  <c r="G77" i="1" s="1"/>
  <c r="G87" i="1" s="1"/>
  <c r="G271" i="24" s="1"/>
  <c r="G18" i="24" s="1"/>
  <c r="E46" i="1"/>
  <c r="E56" i="1" s="1"/>
  <c r="M47" i="1"/>
  <c r="M57" i="1" s="1"/>
  <c r="M67" i="1" s="1"/>
  <c r="M77" i="1" s="1"/>
  <c r="M87" i="1" s="1"/>
  <c r="M271" i="24" s="1"/>
  <c r="M18" i="24" s="1"/>
  <c r="N47" i="1"/>
  <c r="N57" i="1" s="1"/>
  <c r="N67" i="1" s="1"/>
  <c r="N77" i="1" s="1"/>
  <c r="N87" i="1" s="1"/>
  <c r="N271" i="24" s="1"/>
  <c r="N18" i="24" s="1"/>
  <c r="H170" i="24"/>
  <c r="K179" i="24"/>
  <c r="K184" i="24" s="1"/>
  <c r="L184" i="24" s="1"/>
  <c r="M184" i="24" s="1"/>
  <c r="G186" i="24"/>
  <c r="H171" i="24" s="1"/>
  <c r="R185" i="24"/>
  <c r="R172" i="24"/>
  <c r="R187" i="24"/>
  <c r="R186" i="24"/>
  <c r="R171" i="24"/>
  <c r="M171" i="24"/>
  <c r="M186" i="24"/>
  <c r="M185" i="24"/>
  <c r="M170" i="24"/>
  <c r="H440" i="24"/>
  <c r="G184" i="24"/>
  <c r="H184" i="24" s="1"/>
  <c r="P19" i="24"/>
  <c r="O19" i="24"/>
  <c r="N19" i="24"/>
  <c r="G19" i="24"/>
  <c r="F19" i="24"/>
  <c r="M19" i="24"/>
  <c r="H19" i="24"/>
  <c r="I19" i="24"/>
  <c r="J242" i="24"/>
  <c r="N242" i="24"/>
  <c r="N66" i="24" s="1"/>
  <c r="H242" i="24"/>
  <c r="H66" i="24" s="1"/>
  <c r="F242" i="24"/>
  <c r="F66" i="24" s="1"/>
  <c r="N241" i="24"/>
  <c r="L241" i="24"/>
  <c r="J240" i="24"/>
  <c r="L242" i="24"/>
  <c r="G242" i="24"/>
  <c r="G66" i="24" s="1"/>
  <c r="Q242" i="24"/>
  <c r="J241" i="24"/>
  <c r="G241" i="24"/>
  <c r="E240" i="24"/>
  <c r="M241" i="24"/>
  <c r="K241" i="24"/>
  <c r="P242" i="24"/>
  <c r="K242" i="24"/>
  <c r="O242" i="24"/>
  <c r="O66" i="24" s="1"/>
  <c r="I240" i="24"/>
  <c r="I241" i="24"/>
  <c r="M242" i="24"/>
  <c r="M66" i="24" s="1"/>
  <c r="K240" i="24"/>
  <c r="D242" i="24"/>
  <c r="D66" i="24" s="1"/>
  <c r="E242" i="24"/>
  <c r="E66" i="24" s="1"/>
  <c r="I242" i="24"/>
  <c r="F47" i="20"/>
  <c r="F49" i="20" s="1"/>
  <c r="F184" i="13"/>
  <c r="F189" i="13" s="1"/>
  <c r="M46" i="1"/>
  <c r="M56" i="1" s="1"/>
  <c r="M66" i="1" s="1"/>
  <c r="M76" i="1" s="1"/>
  <c r="M86" i="1" s="1"/>
  <c r="M270" i="24" s="1"/>
  <c r="M17" i="24" s="1"/>
  <c r="E188" i="13"/>
  <c r="G46" i="14"/>
  <c r="E66" i="1" l="1"/>
  <c r="F194" i="13"/>
  <c r="G183" i="13"/>
  <c r="C31" i="1"/>
  <c r="C48" i="1"/>
  <c r="C32" i="1"/>
  <c r="D67" i="13"/>
  <c r="F177" i="13"/>
  <c r="F67" i="13"/>
  <c r="Q14" i="24"/>
  <c r="Q66" i="24"/>
  <c r="P14" i="24"/>
  <c r="P66" i="24"/>
  <c r="J65" i="24"/>
  <c r="J13" i="24"/>
  <c r="K65" i="24"/>
  <c r="K13" i="24"/>
  <c r="L65" i="24"/>
  <c r="L13" i="24"/>
  <c r="I65" i="24"/>
  <c r="I13" i="24"/>
  <c r="J64" i="24"/>
  <c r="J12" i="24"/>
  <c r="K64" i="24"/>
  <c r="K12" i="24"/>
  <c r="I64" i="24"/>
  <c r="I12" i="24"/>
  <c r="L14" i="24"/>
  <c r="L66" i="24"/>
  <c r="I14" i="24"/>
  <c r="I66" i="24"/>
  <c r="J14" i="24"/>
  <c r="J66" i="24"/>
  <c r="K14" i="24"/>
  <c r="K66" i="24"/>
  <c r="U25" i="15"/>
  <c r="T108" i="1"/>
  <c r="T25" i="4"/>
  <c r="S107" i="1"/>
  <c r="Q46" i="1"/>
  <c r="Q56" i="1" s="1"/>
  <c r="Q66" i="1" s="1"/>
  <c r="Q76" i="1" s="1"/>
  <c r="Q86" i="1" s="1"/>
  <c r="Q270" i="24" s="1"/>
  <c r="Q17" i="24" s="1"/>
  <c r="Q47" i="1"/>
  <c r="Q57" i="1" s="1"/>
  <c r="Q67" i="1" s="1"/>
  <c r="Q77" i="1" s="1"/>
  <c r="Q87" i="1" s="1"/>
  <c r="Q271" i="24" s="1"/>
  <c r="Q18" i="24" s="1"/>
  <c r="H47" i="1"/>
  <c r="H57" i="1" s="1"/>
  <c r="H67" i="1" s="1"/>
  <c r="H77" i="1" s="1"/>
  <c r="H87" i="1" s="1"/>
  <c r="H271" i="24" s="1"/>
  <c r="H18" i="24" s="1"/>
  <c r="G46" i="1"/>
  <c r="G56" i="1" s="1"/>
  <c r="D47" i="1"/>
  <c r="D57" i="1" s="1"/>
  <c r="L46" i="1"/>
  <c r="L56" i="1" s="1"/>
  <c r="L66" i="1" s="1"/>
  <c r="L76" i="1" s="1"/>
  <c r="L86" i="1" s="1"/>
  <c r="L270" i="24" s="1"/>
  <c r="L17" i="24" s="1"/>
  <c r="N46" i="1"/>
  <c r="N56" i="1" s="1"/>
  <c r="N66" i="1" s="1"/>
  <c r="N76" i="1" s="1"/>
  <c r="N86" i="1" s="1"/>
  <c r="N270" i="24" s="1"/>
  <c r="N17" i="24" s="1"/>
  <c r="P47" i="1"/>
  <c r="P57" i="1" s="1"/>
  <c r="P67" i="1" s="1"/>
  <c r="P77" i="1" s="1"/>
  <c r="P87" i="1" s="1"/>
  <c r="P271" i="24" s="1"/>
  <c r="P18" i="24" s="1"/>
  <c r="O47" i="1"/>
  <c r="O57" i="1" s="1"/>
  <c r="O67" i="1" s="1"/>
  <c r="O77" i="1" s="1"/>
  <c r="O87" i="1" s="1"/>
  <c r="O271" i="24" s="1"/>
  <c r="O18" i="24" s="1"/>
  <c r="H46" i="1"/>
  <c r="H56" i="1" s="1"/>
  <c r="P46" i="1"/>
  <c r="P56" i="1" s="1"/>
  <c r="P66" i="1" s="1"/>
  <c r="P76" i="1" s="1"/>
  <c r="P86" i="1" s="1"/>
  <c r="P270" i="24" s="1"/>
  <c r="P17" i="24" s="1"/>
  <c r="O46" i="1"/>
  <c r="O56" i="1" s="1"/>
  <c r="O66" i="1" s="1"/>
  <c r="O76" i="1" s="1"/>
  <c r="O86" i="1" s="1"/>
  <c r="O270" i="24" s="1"/>
  <c r="O17" i="24" s="1"/>
  <c r="E47" i="1"/>
  <c r="E57" i="1" s="1"/>
  <c r="E67" i="1" s="1"/>
  <c r="E77" i="1" s="1"/>
  <c r="E87" i="1" s="1"/>
  <c r="E271" i="24" s="1"/>
  <c r="E18" i="24" s="1"/>
  <c r="F47" i="1"/>
  <c r="F57" i="1" s="1"/>
  <c r="F67" i="1" s="1"/>
  <c r="F77" i="1" s="1"/>
  <c r="F87" i="1" s="1"/>
  <c r="F271" i="24" s="1"/>
  <c r="F18" i="24" s="1"/>
  <c r="D46" i="1"/>
  <c r="D56" i="1" s="1"/>
  <c r="F46" i="1"/>
  <c r="F56" i="1" s="1"/>
  <c r="H186" i="24"/>
  <c r="Q68" i="13"/>
  <c r="Q178" i="13" s="1"/>
  <c r="M169" i="24"/>
  <c r="H169" i="24"/>
  <c r="G60" i="24"/>
  <c r="G65" i="24"/>
  <c r="E59" i="24"/>
  <c r="E64" i="24"/>
  <c r="N60" i="24"/>
  <c r="N65" i="24"/>
  <c r="M60" i="24"/>
  <c r="M65" i="24"/>
  <c r="P56" i="24"/>
  <c r="P61" i="24"/>
  <c r="G56" i="24"/>
  <c r="G61" i="24"/>
  <c r="F56" i="24"/>
  <c r="F61" i="24"/>
  <c r="E56" i="24"/>
  <c r="E61" i="24"/>
  <c r="I54" i="24"/>
  <c r="I59" i="24"/>
  <c r="J55" i="24"/>
  <c r="J60" i="24"/>
  <c r="I55" i="24"/>
  <c r="I60" i="24"/>
  <c r="K56" i="24"/>
  <c r="K61" i="24"/>
  <c r="K55" i="24"/>
  <c r="K60" i="24"/>
  <c r="Q56" i="24"/>
  <c r="Q61" i="24"/>
  <c r="L55" i="24"/>
  <c r="L60" i="24"/>
  <c r="H56" i="24"/>
  <c r="H61" i="24"/>
  <c r="J54" i="24"/>
  <c r="J59" i="24"/>
  <c r="I56" i="24"/>
  <c r="I61" i="24"/>
  <c r="D56" i="24"/>
  <c r="D61" i="24"/>
  <c r="K54" i="24"/>
  <c r="K59" i="24"/>
  <c r="J56" i="24"/>
  <c r="J61" i="24"/>
  <c r="E12" i="24"/>
  <c r="EA6" i="29" s="1"/>
  <c r="E54" i="24"/>
  <c r="M13" i="24"/>
  <c r="EE7" i="29" s="1"/>
  <c r="M55" i="24"/>
  <c r="N13" i="24"/>
  <c r="EF7" i="29" s="1"/>
  <c r="N55" i="24"/>
  <c r="G13" i="24"/>
  <c r="EC7" i="29" s="1"/>
  <c r="G55" i="24"/>
  <c r="M14" i="24"/>
  <c r="O14" i="24"/>
  <c r="G14" i="24"/>
  <c r="F14" i="24"/>
  <c r="N14" i="24"/>
  <c r="E14" i="24"/>
  <c r="H14" i="24"/>
  <c r="D14" i="24"/>
  <c r="L240" i="24"/>
  <c r="N240" i="24"/>
  <c r="P241" i="24"/>
  <c r="P13" i="24" s="1"/>
  <c r="EH7" i="29" s="1"/>
  <c r="G92" i="1"/>
  <c r="G251" i="24"/>
  <c r="G70" i="24" s="1"/>
  <c r="H241" i="24"/>
  <c r="O241" i="24"/>
  <c r="G93" i="1"/>
  <c r="G252" i="24"/>
  <c r="G71" i="24" s="1"/>
  <c r="L92" i="1"/>
  <c r="L251" i="24"/>
  <c r="L70" i="24" s="1"/>
  <c r="N92" i="1"/>
  <c r="N251" i="24"/>
  <c r="N70" i="24" s="1"/>
  <c r="M93" i="1"/>
  <c r="M252" i="24"/>
  <c r="M71" i="24" s="1"/>
  <c r="O93" i="1"/>
  <c r="O252" i="24"/>
  <c r="O71" i="24" s="1"/>
  <c r="P240" i="24"/>
  <c r="P12" i="24" s="1"/>
  <c r="EH6" i="29" s="1"/>
  <c r="O240" i="24"/>
  <c r="E93" i="1"/>
  <c r="E252" i="24"/>
  <c r="E71" i="24" s="1"/>
  <c r="J92" i="1"/>
  <c r="J251" i="24"/>
  <c r="J70" i="24" s="1"/>
  <c r="E241" i="24"/>
  <c r="Q93" i="1"/>
  <c r="Q252" i="24"/>
  <c r="Q71" i="24" s="1"/>
  <c r="L93" i="1"/>
  <c r="L252" i="24"/>
  <c r="L71" i="24" s="1"/>
  <c r="H93" i="1"/>
  <c r="H252" i="24"/>
  <c r="H71" i="24" s="1"/>
  <c r="F241" i="24"/>
  <c r="J93" i="1"/>
  <c r="J252" i="24"/>
  <c r="J71" i="24" s="1"/>
  <c r="I250" i="24"/>
  <c r="I69" i="24" s="1"/>
  <c r="J250" i="24"/>
  <c r="J69" i="24" s="1"/>
  <c r="I93" i="1"/>
  <c r="I252" i="24"/>
  <c r="I71" i="24" s="1"/>
  <c r="F93" i="1"/>
  <c r="F252" i="24"/>
  <c r="F71" i="24" s="1"/>
  <c r="N93" i="1"/>
  <c r="N252" i="24"/>
  <c r="N71" i="24" s="1"/>
  <c r="P93" i="1"/>
  <c r="P252" i="24"/>
  <c r="P71" i="24" s="1"/>
  <c r="M92" i="1"/>
  <c r="M251" i="24"/>
  <c r="M70" i="24" s="1"/>
  <c r="Q241" i="24"/>
  <c r="Q13" i="24" s="1"/>
  <c r="EI7" i="29" s="1"/>
  <c r="D241" i="24"/>
  <c r="G30" i="1"/>
  <c r="G239" i="24" s="1"/>
  <c r="G63" i="24" s="1"/>
  <c r="G240" i="24"/>
  <c r="Q240" i="24"/>
  <c r="Q12" i="24" s="1"/>
  <c r="EI6" i="29" s="1"/>
  <c r="F30" i="1"/>
  <c r="F239" i="24" s="1"/>
  <c r="F63" i="24" s="1"/>
  <c r="F240" i="24"/>
  <c r="H240" i="24"/>
  <c r="K250" i="24"/>
  <c r="K69" i="24" s="1"/>
  <c r="E250" i="24"/>
  <c r="E69" i="24" s="1"/>
  <c r="D240" i="24"/>
  <c r="M240" i="24"/>
  <c r="D93" i="1"/>
  <c r="D252" i="24"/>
  <c r="D71" i="24" s="1"/>
  <c r="I92" i="1"/>
  <c r="I251" i="24"/>
  <c r="I70" i="24" s="1"/>
  <c r="K93" i="1"/>
  <c r="K252" i="24"/>
  <c r="K71" i="24" s="1"/>
  <c r="K92" i="1"/>
  <c r="K251" i="24"/>
  <c r="K70" i="24" s="1"/>
  <c r="E30" i="1"/>
  <c r="E239" i="24" s="1"/>
  <c r="E63" i="24" s="1"/>
  <c r="G46" i="20"/>
  <c r="G47" i="14"/>
  <c r="G49" i="14" s="1"/>
  <c r="E193" i="13"/>
  <c r="D30" i="1"/>
  <c r="I91" i="1"/>
  <c r="J91" i="1"/>
  <c r="E91" i="1"/>
  <c r="K91" i="1"/>
  <c r="D66" i="1" l="1"/>
  <c r="C56" i="1"/>
  <c r="D55" i="1"/>
  <c r="D67" i="1"/>
  <c r="C57" i="1"/>
  <c r="E55" i="1"/>
  <c r="F66" i="1"/>
  <c r="F55" i="1"/>
  <c r="H66" i="1"/>
  <c r="H55" i="1"/>
  <c r="G66" i="1"/>
  <c r="G55" i="1"/>
  <c r="E65" i="1"/>
  <c r="E76" i="1"/>
  <c r="C47" i="1"/>
  <c r="G188" i="13"/>
  <c r="D250" i="24"/>
  <c r="D69" i="24" s="1"/>
  <c r="C46" i="1"/>
  <c r="C93" i="1"/>
  <c r="D177" i="13"/>
  <c r="E182" i="13"/>
  <c r="L64" i="24"/>
  <c r="L12" i="24"/>
  <c r="V25" i="15"/>
  <c r="U108" i="1"/>
  <c r="U25" i="4"/>
  <c r="T107" i="1"/>
  <c r="H59" i="24"/>
  <c r="H64" i="24"/>
  <c r="D60" i="24"/>
  <c r="D65" i="24"/>
  <c r="M59" i="24"/>
  <c r="M64" i="24"/>
  <c r="F60" i="24"/>
  <c r="F65" i="24"/>
  <c r="E60" i="24"/>
  <c r="E65" i="24"/>
  <c r="O60" i="24"/>
  <c r="O65" i="24"/>
  <c r="H60" i="24"/>
  <c r="H65" i="24"/>
  <c r="D59" i="24"/>
  <c r="D64" i="24"/>
  <c r="O59" i="24"/>
  <c r="O64" i="24"/>
  <c r="N59" i="24"/>
  <c r="N64" i="24"/>
  <c r="F59" i="24"/>
  <c r="F64" i="24"/>
  <c r="G59" i="24"/>
  <c r="G64" i="24"/>
  <c r="Q54" i="24"/>
  <c r="Q59" i="24"/>
  <c r="P54" i="24"/>
  <c r="P59" i="24"/>
  <c r="E53" i="24"/>
  <c r="E58" i="24"/>
  <c r="F53" i="24"/>
  <c r="F58" i="24"/>
  <c r="G53" i="24"/>
  <c r="G58" i="24"/>
  <c r="Q55" i="24"/>
  <c r="Q60" i="24"/>
  <c r="P55" i="24"/>
  <c r="P60" i="24"/>
  <c r="L54" i="24"/>
  <c r="L59" i="24"/>
  <c r="F12" i="24"/>
  <c r="EB6" i="29" s="1"/>
  <c r="F54" i="24"/>
  <c r="D12" i="24"/>
  <c r="DZ6" i="29" s="1"/>
  <c r="D54" i="24"/>
  <c r="M12" i="24"/>
  <c r="EE6" i="29" s="1"/>
  <c r="M54" i="24"/>
  <c r="F13" i="24"/>
  <c r="EB7" i="29" s="1"/>
  <c r="F55" i="24"/>
  <c r="E13" i="24"/>
  <c r="EA7" i="29" s="1"/>
  <c r="E55" i="24"/>
  <c r="O13" i="24"/>
  <c r="EG7" i="29" s="1"/>
  <c r="O55" i="24"/>
  <c r="H13" i="24"/>
  <c r="ED7" i="29" s="1"/>
  <c r="H55" i="24"/>
  <c r="G12" i="24"/>
  <c r="EC6" i="29" s="1"/>
  <c r="G54" i="24"/>
  <c r="H12" i="24"/>
  <c r="ED6" i="29" s="1"/>
  <c r="H54" i="24"/>
  <c r="O12" i="24"/>
  <c r="EG6" i="29" s="1"/>
  <c r="O54" i="24"/>
  <c r="N12" i="24"/>
  <c r="EF6" i="29" s="1"/>
  <c r="N54" i="24"/>
  <c r="D13" i="24"/>
  <c r="DZ7" i="29" s="1"/>
  <c r="D55" i="24"/>
  <c r="E11" i="24"/>
  <c r="F11" i="24"/>
  <c r="G11" i="24"/>
  <c r="D91" i="1"/>
  <c r="K277" i="24"/>
  <c r="J277" i="24"/>
  <c r="H277" i="24"/>
  <c r="H117" i="24" s="1"/>
  <c r="E92" i="1"/>
  <c r="E251" i="24"/>
  <c r="E70" i="24" s="1"/>
  <c r="L276" i="24"/>
  <c r="O92" i="1"/>
  <c r="O251" i="24"/>
  <c r="O70" i="24" s="1"/>
  <c r="P92" i="1"/>
  <c r="P251" i="24"/>
  <c r="D251" i="24"/>
  <c r="D70" i="24" s="1"/>
  <c r="I275" i="24"/>
  <c r="M276" i="24"/>
  <c r="P277" i="24"/>
  <c r="P117" i="24" s="1"/>
  <c r="N277" i="24"/>
  <c r="N117" i="24" s="1"/>
  <c r="I276" i="24"/>
  <c r="E277" i="24"/>
  <c r="E117" i="24" s="1"/>
  <c r="O277" i="24"/>
  <c r="O117" i="24" s="1"/>
  <c r="M277" i="24"/>
  <c r="M117" i="24" s="1"/>
  <c r="N276" i="24"/>
  <c r="G277" i="24"/>
  <c r="G117" i="24" s="1"/>
  <c r="G276" i="24"/>
  <c r="L250" i="24"/>
  <c r="L69" i="24" s="1"/>
  <c r="K276" i="24"/>
  <c r="F92" i="1"/>
  <c r="F251" i="24"/>
  <c r="F70" i="24" s="1"/>
  <c r="L277" i="24"/>
  <c r="Q277" i="24"/>
  <c r="J276" i="24"/>
  <c r="H92" i="1"/>
  <c r="H251" i="24"/>
  <c r="H70" i="24" s="1"/>
  <c r="K275" i="24"/>
  <c r="J275" i="24"/>
  <c r="O250" i="24"/>
  <c r="O69" i="24" s="1"/>
  <c r="D277" i="24"/>
  <c r="D117" i="24" s="1"/>
  <c r="G45" i="1"/>
  <c r="G249" i="24" s="1"/>
  <c r="G198" i="24" s="1"/>
  <c r="G201" i="24" s="1"/>
  <c r="G250" i="24"/>
  <c r="G69" i="24" s="1"/>
  <c r="E275" i="24"/>
  <c r="D239" i="24"/>
  <c r="D63" i="24" s="1"/>
  <c r="N250" i="24"/>
  <c r="N69" i="24" s="1"/>
  <c r="P250" i="24"/>
  <c r="H250" i="24"/>
  <c r="H69" i="24" s="1"/>
  <c r="Q250" i="24"/>
  <c r="F45" i="1"/>
  <c r="F249" i="24" s="1"/>
  <c r="F198" i="24" s="1"/>
  <c r="F201" i="24" s="1"/>
  <c r="F250" i="24"/>
  <c r="F69" i="24" s="1"/>
  <c r="M250" i="24"/>
  <c r="M69" i="24" s="1"/>
  <c r="Q92" i="1"/>
  <c r="Q251" i="24"/>
  <c r="F277" i="24"/>
  <c r="F117" i="24" s="1"/>
  <c r="I277" i="24"/>
  <c r="I117" i="24" s="1"/>
  <c r="E45" i="1"/>
  <c r="E249" i="24" s="1"/>
  <c r="E198" i="24" s="1"/>
  <c r="E201" i="24" s="1"/>
  <c r="H30" i="1"/>
  <c r="G47" i="20"/>
  <c r="G49" i="20" s="1"/>
  <c r="G184" i="13"/>
  <c r="G189" i="13" s="1"/>
  <c r="M91" i="1"/>
  <c r="H46" i="14"/>
  <c r="O91" i="1"/>
  <c r="N91" i="1"/>
  <c r="F91" i="1"/>
  <c r="D45" i="1"/>
  <c r="Q91" i="1"/>
  <c r="P91" i="1"/>
  <c r="G91" i="1"/>
  <c r="H91" i="1"/>
  <c r="D92" i="1"/>
  <c r="L91" i="1"/>
  <c r="G65" i="1" l="1"/>
  <c r="G76" i="1"/>
  <c r="H76" i="1"/>
  <c r="H65" i="1"/>
  <c r="F65" i="1"/>
  <c r="F76" i="1"/>
  <c r="D65" i="1"/>
  <c r="D76" i="1"/>
  <c r="C66" i="1"/>
  <c r="E86" i="1"/>
  <c r="E75" i="1"/>
  <c r="D77" i="1"/>
  <c r="C67" i="1"/>
  <c r="G193" i="13"/>
  <c r="G194" i="13"/>
  <c r="H47" i="14"/>
  <c r="C92" i="1"/>
  <c r="D275" i="24"/>
  <c r="D115" i="24" s="1"/>
  <c r="C91" i="1"/>
  <c r="D187" i="13"/>
  <c r="J115" i="24"/>
  <c r="J22" i="24"/>
  <c r="J27" i="24"/>
  <c r="Q117" i="24"/>
  <c r="Q29" i="24"/>
  <c r="Q24" i="24"/>
  <c r="J116" i="24"/>
  <c r="J23" i="24"/>
  <c r="J28" i="24"/>
  <c r="K116" i="24"/>
  <c r="K28" i="24"/>
  <c r="K23" i="24"/>
  <c r="L116" i="24"/>
  <c r="L28" i="24"/>
  <c r="L23" i="24"/>
  <c r="K115" i="24"/>
  <c r="K22" i="24"/>
  <c r="K27" i="24"/>
  <c r="M116" i="24"/>
  <c r="M28" i="24"/>
  <c r="M23" i="24"/>
  <c r="E115" i="24"/>
  <c r="E27" i="24"/>
  <c r="E22" i="24"/>
  <c r="G116" i="24"/>
  <c r="G23" i="24"/>
  <c r="G28" i="24"/>
  <c r="N116" i="24"/>
  <c r="N23" i="24"/>
  <c r="N28" i="24"/>
  <c r="I115" i="24"/>
  <c r="I27" i="24"/>
  <c r="I22" i="24"/>
  <c r="I116" i="24"/>
  <c r="I23" i="24"/>
  <c r="I28" i="24"/>
  <c r="V25" i="4"/>
  <c r="U107" i="1"/>
  <c r="W25" i="15"/>
  <c r="V108" i="1"/>
  <c r="L117" i="24"/>
  <c r="L29" i="24"/>
  <c r="L24" i="24"/>
  <c r="J117" i="24"/>
  <c r="J29" i="24"/>
  <c r="J24" i="24"/>
  <c r="K117" i="24"/>
  <c r="K29" i="24"/>
  <c r="K24" i="24"/>
  <c r="F204" i="24"/>
  <c r="F203" i="24"/>
  <c r="F202" i="24"/>
  <c r="E204" i="24"/>
  <c r="E203" i="24"/>
  <c r="E202" i="24"/>
  <c r="G204" i="24"/>
  <c r="G203" i="24"/>
  <c r="G202" i="24"/>
  <c r="F68" i="24"/>
  <c r="G68" i="24"/>
  <c r="E68" i="24"/>
  <c r="D53" i="24"/>
  <c r="D58" i="24"/>
  <c r="D11" i="24"/>
  <c r="N24" i="24"/>
  <c r="N29" i="24"/>
  <c r="I24" i="24"/>
  <c r="I29" i="24"/>
  <c r="F24" i="24"/>
  <c r="F29" i="24"/>
  <c r="M24" i="24"/>
  <c r="M29" i="24"/>
  <c r="G24" i="24"/>
  <c r="G29" i="24"/>
  <c r="O24" i="24"/>
  <c r="O29" i="24"/>
  <c r="P24" i="24"/>
  <c r="P29" i="24"/>
  <c r="H24" i="24"/>
  <c r="H29" i="24"/>
  <c r="E90" i="1"/>
  <c r="E274" i="24" s="1"/>
  <c r="H45" i="1"/>
  <c r="H249" i="24" s="1"/>
  <c r="D276" i="24"/>
  <c r="D116" i="24" s="1"/>
  <c r="Q276" i="24"/>
  <c r="H275" i="24"/>
  <c r="P276" i="24"/>
  <c r="G90" i="1"/>
  <c r="G274" i="24" s="1"/>
  <c r="G275" i="24"/>
  <c r="D249" i="24"/>
  <c r="D198" i="24" s="1"/>
  <c r="N275" i="24"/>
  <c r="H239" i="24"/>
  <c r="H63" i="24" s="1"/>
  <c r="L275" i="24"/>
  <c r="P275" i="24"/>
  <c r="O275" i="24"/>
  <c r="F276" i="24"/>
  <c r="Q275" i="24"/>
  <c r="F90" i="1"/>
  <c r="F274" i="24" s="1"/>
  <c r="F275" i="24"/>
  <c r="M275" i="24"/>
  <c r="H276" i="24"/>
  <c r="O276" i="24"/>
  <c r="E276" i="24"/>
  <c r="R198" i="24"/>
  <c r="R201" i="24" s="1"/>
  <c r="H46" i="20"/>
  <c r="H183" i="13"/>
  <c r="D90" i="1"/>
  <c r="H86" i="1" l="1"/>
  <c r="H75" i="1"/>
  <c r="C77" i="1"/>
  <c r="D87" i="1"/>
  <c r="E270" i="24"/>
  <c r="E85" i="1"/>
  <c r="E269" i="24" s="1"/>
  <c r="D86" i="1"/>
  <c r="C76" i="1"/>
  <c r="D75" i="1"/>
  <c r="F86" i="1"/>
  <c r="F75" i="1"/>
  <c r="G86" i="1"/>
  <c r="G75" i="1"/>
  <c r="I46" i="14"/>
  <c r="I183" i="13" s="1"/>
  <c r="I188" i="13" s="1"/>
  <c r="I193" i="13" s="1"/>
  <c r="H49" i="14"/>
  <c r="H188" i="13"/>
  <c r="H193" i="13" s="1"/>
  <c r="D192" i="13"/>
  <c r="Q115" i="24"/>
  <c r="Q27" i="24"/>
  <c r="Q22" i="24"/>
  <c r="L115" i="24"/>
  <c r="L27" i="24"/>
  <c r="L22" i="24"/>
  <c r="Q116" i="24"/>
  <c r="Q23" i="24"/>
  <c r="Q28" i="24"/>
  <c r="M115" i="24"/>
  <c r="M22" i="24"/>
  <c r="M27" i="24"/>
  <c r="E116" i="24"/>
  <c r="E23" i="24"/>
  <c r="E28" i="24"/>
  <c r="O115" i="24"/>
  <c r="O27" i="24"/>
  <c r="O22" i="24"/>
  <c r="H115" i="24"/>
  <c r="H22" i="24"/>
  <c r="H27" i="24"/>
  <c r="H116" i="24"/>
  <c r="H28" i="24"/>
  <c r="H23" i="24"/>
  <c r="F116" i="24"/>
  <c r="F23" i="24"/>
  <c r="F28" i="24"/>
  <c r="P115" i="24"/>
  <c r="P22" i="24"/>
  <c r="P27" i="24"/>
  <c r="G115" i="24"/>
  <c r="G27" i="24"/>
  <c r="G22" i="24"/>
  <c r="P116" i="24"/>
  <c r="P28" i="24"/>
  <c r="P23" i="24"/>
  <c r="O116" i="24"/>
  <c r="O28" i="24"/>
  <c r="O23" i="24"/>
  <c r="F115" i="24"/>
  <c r="F22" i="24"/>
  <c r="F27" i="24"/>
  <c r="N115" i="24"/>
  <c r="N22" i="24"/>
  <c r="N27" i="24"/>
  <c r="X25" i="15"/>
  <c r="W108" i="1"/>
  <c r="W25" i="4"/>
  <c r="V107" i="1"/>
  <c r="F110" i="1"/>
  <c r="D110" i="1"/>
  <c r="G110" i="1"/>
  <c r="E110" i="1"/>
  <c r="R204" i="24"/>
  <c r="R203" i="24"/>
  <c r="R202" i="24"/>
  <c r="G114" i="24"/>
  <c r="E114" i="24"/>
  <c r="F114" i="24"/>
  <c r="H68" i="24"/>
  <c r="D68" i="24"/>
  <c r="H53" i="24"/>
  <c r="H58" i="24"/>
  <c r="H11" i="24"/>
  <c r="F21" i="24"/>
  <c r="F26" i="24"/>
  <c r="G21" i="24"/>
  <c r="G26" i="24"/>
  <c r="I105" i="1"/>
  <c r="K105" i="1"/>
  <c r="J105" i="1"/>
  <c r="H90" i="1"/>
  <c r="G105" i="1"/>
  <c r="L105" i="1"/>
  <c r="D274" i="24"/>
  <c r="D114" i="24" s="1"/>
  <c r="F105" i="1"/>
  <c r="H184" i="13"/>
  <c r="H189" i="13" s="1"/>
  <c r="H47" i="20"/>
  <c r="H49" i="20" s="1"/>
  <c r="D105" i="1"/>
  <c r="C86" i="1" l="1"/>
  <c r="D85" i="1"/>
  <c r="D269" i="24" s="1"/>
  <c r="D270" i="24"/>
  <c r="H270" i="24"/>
  <c r="H17" i="24" s="1"/>
  <c r="H85" i="1"/>
  <c r="G85" i="1"/>
  <c r="G269" i="24" s="1"/>
  <c r="G16" i="24" s="1"/>
  <c r="G270" i="24"/>
  <c r="G17" i="24" s="1"/>
  <c r="F85" i="1"/>
  <c r="F269" i="24" s="1"/>
  <c r="F16" i="24" s="1"/>
  <c r="F270" i="24"/>
  <c r="F17" i="24" s="1"/>
  <c r="C87" i="1"/>
  <c r="D271" i="24"/>
  <c r="I47" i="14"/>
  <c r="I49" i="14" s="1"/>
  <c r="H194" i="13"/>
  <c r="X25" i="4"/>
  <c r="W107" i="1"/>
  <c r="Y25" i="15"/>
  <c r="X108" i="1"/>
  <c r="H105" i="1"/>
  <c r="H274" i="24"/>
  <c r="I46" i="20"/>
  <c r="D138" i="1" l="1"/>
  <c r="H269" i="24"/>
  <c r="H16" i="24" s="1"/>
  <c r="J46" i="14"/>
  <c r="J47" i="14" s="1"/>
  <c r="J49" i="14" s="1"/>
  <c r="Z25" i="15"/>
  <c r="Y108" i="1"/>
  <c r="Y25" i="4"/>
  <c r="X107" i="1"/>
  <c r="H114" i="24"/>
  <c r="H21" i="24"/>
  <c r="H26" i="24"/>
  <c r="I184" i="13"/>
  <c r="I189" i="13" s="1"/>
  <c r="I194" i="13" s="1"/>
  <c r="I47" i="20"/>
  <c r="I49" i="20" s="1"/>
  <c r="J183" i="13" l="1"/>
  <c r="J188" i="13" s="1"/>
  <c r="J193" i="13" s="1"/>
  <c r="K46" i="14"/>
  <c r="K183" i="13" s="1"/>
  <c r="K188" i="13" s="1"/>
  <c r="Z108" i="1"/>
  <c r="Z25" i="4"/>
  <c r="Y107" i="1"/>
  <c r="AA25" i="15"/>
  <c r="J46" i="20"/>
  <c r="K47" i="14" l="1"/>
  <c r="K49" i="14" s="1"/>
  <c r="Z107" i="1"/>
  <c r="AA108" i="1"/>
  <c r="AA25" i="4"/>
  <c r="J184" i="13"/>
  <c r="J189" i="13" s="1"/>
  <c r="J194" i="13" s="1"/>
  <c r="J47" i="20"/>
  <c r="J49" i="20" s="1"/>
  <c r="K193" i="13"/>
  <c r="L46" i="14" l="1"/>
  <c r="L47" i="14" s="1"/>
  <c r="L49" i="14" s="1"/>
  <c r="AA107" i="1"/>
  <c r="K46" i="20"/>
  <c r="L183" i="13" l="1"/>
  <c r="L188" i="13" s="1"/>
  <c r="L193" i="13" s="1"/>
  <c r="K47" i="20"/>
  <c r="K49" i="20" s="1"/>
  <c r="K184" i="13"/>
  <c r="K189" i="13" s="1"/>
  <c r="K194" i="13" s="1"/>
  <c r="M46" i="14"/>
  <c r="L46" i="20" l="1"/>
  <c r="M183" i="13"/>
  <c r="L184" i="13" l="1"/>
  <c r="L189" i="13" s="1"/>
  <c r="L194" i="13" s="1"/>
  <c r="L47" i="20"/>
  <c r="L49" i="20" s="1"/>
  <c r="M46" i="20" l="1"/>
  <c r="M47" i="20" l="1"/>
  <c r="M49" i="20" s="1"/>
  <c r="M184" i="13"/>
  <c r="M189" i="13" s="1"/>
  <c r="M194" i="13" s="1"/>
  <c r="N46" i="20" l="1"/>
  <c r="N47" i="20" l="1"/>
  <c r="N49" i="20" s="1"/>
  <c r="N184" i="13"/>
  <c r="N189" i="13" s="1"/>
  <c r="N194" i="13" s="1"/>
  <c r="O46" i="20" l="1"/>
  <c r="O47" i="20" l="1"/>
  <c r="O49" i="20" s="1"/>
  <c r="O184" i="13"/>
  <c r="O189" i="13" s="1"/>
  <c r="O194" i="13" s="1"/>
  <c r="P46" i="20" l="1"/>
  <c r="P184" i="13" l="1"/>
  <c r="P189" i="13" s="1"/>
  <c r="P47" i="20"/>
  <c r="P49" i="20" s="1"/>
  <c r="P194" i="13" l="1"/>
  <c r="Q46" i="20"/>
  <c r="Q184" i="13" l="1"/>
  <c r="C184" i="13" s="1"/>
  <c r="Q47" i="20"/>
  <c r="Q49" i="20" s="1"/>
  <c r="Q189" i="13" l="1"/>
  <c r="C194" i="13" s="1"/>
  <c r="Q194" i="13" l="1"/>
  <c r="M100" i="13" l="1"/>
  <c r="M29" i="14"/>
  <c r="M45" i="14" s="1"/>
  <c r="M47" i="14" s="1"/>
  <c r="M49" i="14" s="1"/>
  <c r="M25" i="12"/>
  <c r="M106" i="1" s="1"/>
  <c r="M110" i="13" l="1"/>
  <c r="M109" i="13" s="1"/>
  <c r="C109" i="13" s="1"/>
  <c r="C100" i="13"/>
  <c r="M99" i="13"/>
  <c r="C99" i="13" s="1"/>
  <c r="M96" i="1"/>
  <c r="C96" i="1" s="1"/>
  <c r="N46" i="14"/>
  <c r="M178" i="13" l="1"/>
  <c r="M188" i="13" s="1"/>
  <c r="M193" i="13" s="1"/>
  <c r="M95" i="1"/>
  <c r="C95" i="1" s="1"/>
  <c r="N47" i="14"/>
  <c r="N49" i="14" s="1"/>
  <c r="N183" i="13"/>
  <c r="N188" i="13" l="1"/>
  <c r="O46" i="14"/>
  <c r="N193" i="13" l="1"/>
  <c r="O47" i="14"/>
  <c r="O49" i="14" s="1"/>
  <c r="O183" i="13"/>
  <c r="O188" i="13" l="1"/>
  <c r="P46" i="14"/>
  <c r="O193" i="13" l="1"/>
  <c r="P183" i="13"/>
  <c r="P47" i="14"/>
  <c r="P49" i="14" s="1"/>
  <c r="P188" i="13" l="1"/>
  <c r="Q46" i="14"/>
  <c r="Q183" i="13" l="1"/>
  <c r="C183" i="13" s="1"/>
  <c r="Q47" i="14"/>
  <c r="Q49" i="14" s="1"/>
  <c r="P193" i="13"/>
  <c r="Q188" i="13" l="1"/>
  <c r="C193" i="13" s="1"/>
  <c r="Q193" i="13" l="1"/>
  <c r="P11" i="23" l="1"/>
  <c r="L11" i="23"/>
  <c r="L16" i="23"/>
  <c r="M16" i="23" l="1"/>
  <c r="M25" i="16" s="1"/>
  <c r="M27" i="16" s="1"/>
  <c r="M39" i="16" s="1"/>
  <c r="L25" i="16"/>
  <c r="L20" i="23"/>
  <c r="M43" i="16" l="1"/>
  <c r="M20" i="23"/>
  <c r="N16" i="23"/>
  <c r="N20" i="23" s="1"/>
  <c r="M100" i="6"/>
  <c r="M386" i="24" s="1"/>
  <c r="M33" i="22"/>
  <c r="M124" i="13" s="1"/>
  <c r="L100" i="6"/>
  <c r="L27" i="16"/>
  <c r="L33" i="22"/>
  <c r="O16" i="23" l="1"/>
  <c r="N25" i="16"/>
  <c r="N27" i="16" s="1"/>
  <c r="N39" i="16" s="1"/>
  <c r="M42" i="22"/>
  <c r="M45" i="22" s="1"/>
  <c r="M97" i="6"/>
  <c r="BC5" i="29" s="1"/>
  <c r="BD5" i="29" s="1"/>
  <c r="BP15" i="29" s="1"/>
  <c r="M110" i="6"/>
  <c r="M396" i="24" s="1"/>
  <c r="M102" i="24" s="1"/>
  <c r="L42" i="22"/>
  <c r="L45" i="22" s="1"/>
  <c r="L124" i="13"/>
  <c r="L97" i="6"/>
  <c r="L386" i="24"/>
  <c r="L110" i="6"/>
  <c r="L39" i="16"/>
  <c r="M169" i="13"/>
  <c r="M121" i="13"/>
  <c r="M13" i="23" s="1"/>
  <c r="M92" i="24"/>
  <c r="M87" i="24"/>
  <c r="M97" i="24"/>
  <c r="M56" i="24"/>
  <c r="M61" i="24"/>
  <c r="N43" i="16" l="1"/>
  <c r="L43" i="16"/>
  <c r="N33" i="22"/>
  <c r="N42" i="22" s="1"/>
  <c r="N45" i="22" s="1"/>
  <c r="N100" i="6"/>
  <c r="N386" i="24" s="1"/>
  <c r="N56" i="24" s="1"/>
  <c r="O25" i="16"/>
  <c r="O20" i="23"/>
  <c r="M157" i="6"/>
  <c r="M169" i="6" s="1"/>
  <c r="M383" i="24"/>
  <c r="M84" i="24" s="1"/>
  <c r="M22" i="23"/>
  <c r="L61" i="24"/>
  <c r="L56" i="24"/>
  <c r="M180" i="13"/>
  <c r="M166" i="13"/>
  <c r="BC7" i="29"/>
  <c r="L87" i="24"/>
  <c r="L92" i="24"/>
  <c r="L97" i="24"/>
  <c r="L396" i="24"/>
  <c r="L102" i="24" s="1"/>
  <c r="L107" i="6"/>
  <c r="L393" i="24" s="1"/>
  <c r="L157" i="6"/>
  <c r="L383" i="24"/>
  <c r="L22" i="23"/>
  <c r="L169" i="13"/>
  <c r="L121" i="13"/>
  <c r="L13" i="23" s="1"/>
  <c r="N124" i="13" l="1"/>
  <c r="N169" i="13" s="1"/>
  <c r="N180" i="13" s="1"/>
  <c r="N92" i="24"/>
  <c r="N61" i="24"/>
  <c r="N97" i="24"/>
  <c r="N97" i="6"/>
  <c r="N383" i="24" s="1"/>
  <c r="N94" i="24" s="1"/>
  <c r="N87" i="24"/>
  <c r="N110" i="6"/>
  <c r="N396" i="24" s="1"/>
  <c r="N102" i="24" s="1"/>
  <c r="P33" i="22"/>
  <c r="O100" i="6"/>
  <c r="C100" i="6" s="1"/>
  <c r="O27" i="16"/>
  <c r="O39" i="16" s="1"/>
  <c r="O33" i="22"/>
  <c r="M443" i="24"/>
  <c r="N121" i="13"/>
  <c r="N13" i="23" s="1"/>
  <c r="M94" i="24"/>
  <c r="M89" i="24"/>
  <c r="L180" i="13"/>
  <c r="L166" i="13"/>
  <c r="BD7" i="29"/>
  <c r="BA8" i="29" s="1"/>
  <c r="BA19" i="29" s="1"/>
  <c r="BA20" i="29" s="1"/>
  <c r="BA21" i="29" s="1"/>
  <c r="L84" i="24"/>
  <c r="L89" i="24"/>
  <c r="L94" i="24"/>
  <c r="L199" i="24"/>
  <c r="L99" i="24"/>
  <c r="L443" i="24"/>
  <c r="L169" i="6"/>
  <c r="L154" i="6"/>
  <c r="N166" i="13" l="1"/>
  <c r="N89" i="24"/>
  <c r="N84" i="24"/>
  <c r="O43" i="16"/>
  <c r="N22" i="23"/>
  <c r="N157" i="6"/>
  <c r="N169" i="6" s="1"/>
  <c r="P42" i="22"/>
  <c r="P45" i="22" s="1"/>
  <c r="P124" i="13"/>
  <c r="O110" i="6"/>
  <c r="O386" i="24"/>
  <c r="O97" i="6"/>
  <c r="O124" i="13"/>
  <c r="O42" i="22"/>
  <c r="O45" i="22" s="1"/>
  <c r="BP18" i="29"/>
  <c r="CN6" i="29" s="1"/>
  <c r="L440" i="24"/>
  <c r="L166" i="6"/>
  <c r="BT9" i="29"/>
  <c r="BT10" i="29"/>
  <c r="BT13" i="29"/>
  <c r="D32" i="12"/>
  <c r="D32" i="15"/>
  <c r="E30" i="15" s="1"/>
  <c r="D32" i="4"/>
  <c r="E30" i="4" s="1"/>
  <c r="C124" i="13" l="1"/>
  <c r="N443" i="24"/>
  <c r="P169" i="13"/>
  <c r="P121" i="13"/>
  <c r="P13" i="23" s="1"/>
  <c r="O169" i="13"/>
  <c r="O121" i="13"/>
  <c r="O157" i="6"/>
  <c r="O396" i="24"/>
  <c r="O102" i="24" s="1"/>
  <c r="O22" i="23"/>
  <c r="C97" i="6"/>
  <c r="O383" i="24"/>
  <c r="O97" i="24"/>
  <c r="O92" i="24"/>
  <c r="O56" i="24"/>
  <c r="O87" i="24"/>
  <c r="O61" i="24"/>
  <c r="CM26" i="29"/>
  <c r="CN26" i="29" s="1"/>
  <c r="CO26" i="29"/>
  <c r="M26" i="4"/>
  <c r="M112" i="1" s="1"/>
  <c r="BW10" i="29" s="1"/>
  <c r="I26" i="4"/>
  <c r="I112" i="1" s="1"/>
  <c r="J26" i="4"/>
  <c r="J112" i="1" s="1"/>
  <c r="K26" i="4"/>
  <c r="K112" i="1" s="1"/>
  <c r="L26" i="4"/>
  <c r="L112" i="1" s="1"/>
  <c r="I26" i="15"/>
  <c r="I113" i="1" s="1"/>
  <c r="J26" i="15"/>
  <c r="J113" i="1" s="1"/>
  <c r="K26" i="15"/>
  <c r="K113" i="1" s="1"/>
  <c r="L26" i="15"/>
  <c r="L113" i="1" s="1"/>
  <c r="D121" i="1"/>
  <c r="D127" i="24" s="1"/>
  <c r="X26" i="15"/>
  <c r="X113" i="1" s="1"/>
  <c r="V26" i="15"/>
  <c r="V113" i="1" s="1"/>
  <c r="O26" i="15"/>
  <c r="O113" i="1" s="1"/>
  <c r="BY13" i="29" s="1"/>
  <c r="H26" i="15"/>
  <c r="U26" i="15"/>
  <c r="U113" i="1" s="1"/>
  <c r="AA26" i="15"/>
  <c r="AA113" i="1" s="1"/>
  <c r="T26" i="15"/>
  <c r="T113" i="1" s="1"/>
  <c r="N26" i="15"/>
  <c r="N113" i="1" s="1"/>
  <c r="BX13" i="29" s="1"/>
  <c r="Z26" i="15"/>
  <c r="Z113" i="1" s="1"/>
  <c r="Q26" i="15"/>
  <c r="Q113" i="1" s="1"/>
  <c r="CA13" i="29" s="1"/>
  <c r="W26" i="15"/>
  <c r="W113" i="1" s="1"/>
  <c r="R26" i="15"/>
  <c r="R113" i="1" s="1"/>
  <c r="P26" i="15"/>
  <c r="P113" i="1" s="1"/>
  <c r="BZ13" i="29" s="1"/>
  <c r="S26" i="15"/>
  <c r="S113" i="1" s="1"/>
  <c r="Y26" i="15"/>
  <c r="Y113" i="1" s="1"/>
  <c r="M26" i="15"/>
  <c r="M113" i="1" s="1"/>
  <c r="BW13" i="29" s="1"/>
  <c r="Y26" i="4"/>
  <c r="Y112" i="1" s="1"/>
  <c r="N26" i="4"/>
  <c r="N112" i="1" s="1"/>
  <c r="BX10" i="29" s="1"/>
  <c r="T26" i="4"/>
  <c r="T112" i="1" s="1"/>
  <c r="W26" i="4"/>
  <c r="W112" i="1" s="1"/>
  <c r="AA26" i="4"/>
  <c r="AA112" i="1" s="1"/>
  <c r="D120" i="1"/>
  <c r="D126" i="24" s="1"/>
  <c r="O26" i="4"/>
  <c r="O112" i="1" s="1"/>
  <c r="BY10" i="29" s="1"/>
  <c r="P26" i="4"/>
  <c r="P112" i="1" s="1"/>
  <c r="BZ10" i="29" s="1"/>
  <c r="X26" i="4"/>
  <c r="X112" i="1" s="1"/>
  <c r="R26" i="4"/>
  <c r="R112" i="1" s="1"/>
  <c r="Q26" i="4"/>
  <c r="Q112" i="1" s="1"/>
  <c r="CA10" i="29" s="1"/>
  <c r="Z26" i="4"/>
  <c r="Z112" i="1" s="1"/>
  <c r="F134" i="1"/>
  <c r="CC10" i="29" s="1"/>
  <c r="U26" i="4"/>
  <c r="U112" i="1" s="1"/>
  <c r="V26" i="4"/>
  <c r="V112" i="1" s="1"/>
  <c r="S26" i="4"/>
  <c r="S112" i="1" s="1"/>
  <c r="H26" i="4"/>
  <c r="D119" i="1"/>
  <c r="D125" i="24" l="1"/>
  <c r="D130" i="24" s="1"/>
  <c r="D135" i="24" s="1"/>
  <c r="DZ22" i="29" s="1"/>
  <c r="D118" i="1"/>
  <c r="D124" i="24" s="1"/>
  <c r="O84" i="24"/>
  <c r="O94" i="24"/>
  <c r="O89" i="24"/>
  <c r="P180" i="13"/>
  <c r="P166" i="13"/>
  <c r="O443" i="24"/>
  <c r="O169" i="6"/>
  <c r="O180" i="13"/>
  <c r="O166" i="13"/>
  <c r="O13" i="23"/>
  <c r="C121" i="13"/>
  <c r="E127" i="24"/>
  <c r="E126" i="24"/>
  <c r="D131" i="24"/>
  <c r="D136" i="24" s="1"/>
  <c r="DZ23" i="29" s="1"/>
  <c r="E135" i="1"/>
  <c r="CB13" i="29" s="1"/>
  <c r="H112" i="1"/>
  <c r="D33" i="4"/>
  <c r="F33" i="4" s="1"/>
  <c r="E134" i="1"/>
  <c r="CB10" i="29" s="1"/>
  <c r="H113" i="1"/>
  <c r="E125" i="24" l="1"/>
  <c r="E130" i="24" s="1"/>
  <c r="E135" i="24" s="1"/>
  <c r="EA22" i="29" s="1"/>
  <c r="C166" i="13"/>
  <c r="E124" i="24"/>
  <c r="F126" i="24"/>
  <c r="E131" i="24"/>
  <c r="E136" i="24" s="1"/>
  <c r="EA23" i="29" s="1"/>
  <c r="F127" i="24"/>
  <c r="E132" i="24"/>
  <c r="E137" i="24" s="1"/>
  <c r="BV13" i="29"/>
  <c r="D135" i="1"/>
  <c r="BV10" i="29"/>
  <c r="CE10" i="29" s="1"/>
  <c r="D134" i="1"/>
  <c r="G134" i="1" s="1"/>
  <c r="H134" i="1" s="1"/>
  <c r="F125" i="24" l="1"/>
  <c r="F130" i="24" s="1"/>
  <c r="F135" i="24" s="1"/>
  <c r="EB22" i="29" s="1"/>
  <c r="G127" i="24"/>
  <c r="F132" i="24"/>
  <c r="F137" i="24" s="1"/>
  <c r="G126" i="24"/>
  <c r="F131" i="24"/>
  <c r="F136" i="24" s="1"/>
  <c r="EB23" i="29" s="1"/>
  <c r="F124" i="24"/>
  <c r="E129" i="24"/>
  <c r="E134" i="24" s="1"/>
  <c r="CZ9" i="29"/>
  <c r="DF9" i="29" s="1"/>
  <c r="CF10" i="29"/>
  <c r="CF11" i="29"/>
  <c r="G125" i="24" l="1"/>
  <c r="G130" i="24" s="1"/>
  <c r="G135" i="24" s="1"/>
  <c r="EC22" i="29" s="1"/>
  <c r="G124" i="24"/>
  <c r="F129" i="24"/>
  <c r="F134" i="24" s="1"/>
  <c r="H127" i="24"/>
  <c r="G132" i="24"/>
  <c r="G137" i="24" s="1"/>
  <c r="H126" i="24"/>
  <c r="G131" i="24"/>
  <c r="G136" i="24" s="1"/>
  <c r="EC23" i="29" s="1"/>
  <c r="CF16" i="29"/>
  <c r="ES10" i="29"/>
  <c r="H125" i="24" l="1"/>
  <c r="H130" i="24" s="1"/>
  <c r="H135" i="24" s="1"/>
  <c r="ED22" i="29" s="1"/>
  <c r="I126" i="24"/>
  <c r="H131" i="24"/>
  <c r="H136" i="24" s="1"/>
  <c r="ED23" i="29" s="1"/>
  <c r="H124" i="24"/>
  <c r="G129" i="24"/>
  <c r="G134" i="24" s="1"/>
  <c r="I127" i="24"/>
  <c r="H132" i="24"/>
  <c r="H137" i="24" s="1"/>
  <c r="ES19" i="29"/>
  <c r="ER19" i="29"/>
  <c r="EQ19" i="29"/>
  <c r="I125" i="24" l="1"/>
  <c r="I130" i="24" s="1"/>
  <c r="I135" i="24" s="1"/>
  <c r="J127" i="24"/>
  <c r="I132" i="24"/>
  <c r="I137" i="24" s="1"/>
  <c r="I124" i="24"/>
  <c r="J126" i="24"/>
  <c r="I131" i="24"/>
  <c r="I136" i="24" s="1"/>
  <c r="J125" i="24" l="1"/>
  <c r="J130" i="24" s="1"/>
  <c r="J135" i="24" s="1"/>
  <c r="K126" i="24"/>
  <c r="J131" i="24"/>
  <c r="J136" i="24" s="1"/>
  <c r="J124" i="24"/>
  <c r="I129" i="24"/>
  <c r="K127" i="24"/>
  <c r="J132" i="24"/>
  <c r="J137" i="24" s="1"/>
  <c r="K125" i="24" l="1"/>
  <c r="L125" i="24" s="1"/>
  <c r="L127" i="24"/>
  <c r="K132" i="24"/>
  <c r="K137" i="24" s="1"/>
  <c r="K124" i="24"/>
  <c r="J129" i="24"/>
  <c r="L126" i="24"/>
  <c r="K131" i="24"/>
  <c r="K136" i="24" s="1"/>
  <c r="K130" i="24" l="1"/>
  <c r="K135" i="24" s="1"/>
  <c r="M125" i="24"/>
  <c r="L130" i="24"/>
  <c r="L135" i="24" s="1"/>
  <c r="M127" i="24"/>
  <c r="L132" i="24"/>
  <c r="L137" i="24" s="1"/>
  <c r="L124" i="24"/>
  <c r="K129" i="24"/>
  <c r="M126" i="24"/>
  <c r="L131" i="24"/>
  <c r="L136" i="24" s="1"/>
  <c r="N126" i="24" l="1"/>
  <c r="M131" i="24"/>
  <c r="M136" i="24" s="1"/>
  <c r="EE23" i="29" s="1"/>
  <c r="M124" i="24"/>
  <c r="L129" i="24"/>
  <c r="N125" i="24"/>
  <c r="M130" i="24"/>
  <c r="M135" i="24" s="1"/>
  <c r="EE22" i="29" s="1"/>
  <c r="N127" i="24"/>
  <c r="M132" i="24"/>
  <c r="M137" i="24" s="1"/>
  <c r="O127" i="24" l="1"/>
  <c r="N132" i="24"/>
  <c r="N137" i="24" s="1"/>
  <c r="O126" i="24"/>
  <c r="N131" i="24"/>
  <c r="N136" i="24" s="1"/>
  <c r="EF23" i="29" s="1"/>
  <c r="O125" i="24"/>
  <c r="N130" i="24"/>
  <c r="N135" i="24" s="1"/>
  <c r="EF22" i="29" s="1"/>
  <c r="N124" i="24"/>
  <c r="I26" i="12"/>
  <c r="I111" i="1" s="1"/>
  <c r="I110" i="1" s="1"/>
  <c r="P26" i="12"/>
  <c r="P111" i="1" s="1"/>
  <c r="BZ9" i="29" s="1"/>
  <c r="BZ11" i="29" s="1"/>
  <c r="M26" i="12"/>
  <c r="M111" i="1" s="1"/>
  <c r="J26" i="12"/>
  <c r="H26" i="12"/>
  <c r="H111" i="1" s="1"/>
  <c r="K26" i="12"/>
  <c r="K111" i="1" s="1"/>
  <c r="K110" i="1" s="1"/>
  <c r="Q26" i="12"/>
  <c r="Q111" i="1" s="1"/>
  <c r="L26" i="12"/>
  <c r="L111" i="1" s="1"/>
  <c r="L110" i="1" s="1"/>
  <c r="R4" i="12"/>
  <c r="O26" i="12"/>
  <c r="O111" i="1" s="1"/>
  <c r="N26" i="12"/>
  <c r="N111" i="1" s="1"/>
  <c r="BX9" i="29" s="1"/>
  <c r="BX11" i="29" s="1"/>
  <c r="O124" i="24" l="1"/>
  <c r="P127" i="24"/>
  <c r="O132" i="24"/>
  <c r="O137" i="24" s="1"/>
  <c r="P125" i="24"/>
  <c r="O130" i="24"/>
  <c r="O135" i="24" s="1"/>
  <c r="EG22" i="29" s="1"/>
  <c r="P126" i="24"/>
  <c r="O131" i="24"/>
  <c r="O136" i="24" s="1"/>
  <c r="EG23" i="29" s="1"/>
  <c r="CA9" i="29"/>
  <c r="CA11" i="29" s="1"/>
  <c r="S4" i="12"/>
  <c r="T4" i="12" s="1"/>
  <c r="BW9" i="29"/>
  <c r="BW11" i="29" s="1"/>
  <c r="J111" i="1"/>
  <c r="J110" i="1" s="1"/>
  <c r="BY9" i="29"/>
  <c r="BY11" i="29" s="1"/>
  <c r="R25" i="12"/>
  <c r="BV9" i="29"/>
  <c r="H110" i="1"/>
  <c r="Q126" i="24" l="1"/>
  <c r="Q131" i="24" s="1"/>
  <c r="Q136" i="24" s="1"/>
  <c r="EI23" i="29" s="1"/>
  <c r="P131" i="24"/>
  <c r="P136" i="24" s="1"/>
  <c r="EH23" i="29" s="1"/>
  <c r="Q125" i="24"/>
  <c r="Q130" i="24" s="1"/>
  <c r="Q135" i="24" s="1"/>
  <c r="EI22" i="29" s="1"/>
  <c r="P130" i="24"/>
  <c r="P135" i="24" s="1"/>
  <c r="EH22" i="29" s="1"/>
  <c r="Q127" i="24"/>
  <c r="Q132" i="24" s="1"/>
  <c r="Q137" i="24" s="1"/>
  <c r="P132" i="24"/>
  <c r="P137" i="24" s="1"/>
  <c r="P124" i="24"/>
  <c r="U4" i="12"/>
  <c r="D133" i="1"/>
  <c r="BV11" i="29"/>
  <c r="BV15" i="29" s="1"/>
  <c r="S25" i="12"/>
  <c r="R26" i="12"/>
  <c r="R106" i="1"/>
  <c r="Q124" i="24" l="1"/>
  <c r="V4" i="12"/>
  <c r="W4" i="12" s="1"/>
  <c r="T25" i="12"/>
  <c r="U25" i="12" s="1"/>
  <c r="R111" i="1"/>
  <c r="S106" i="1"/>
  <c r="S26" i="12"/>
  <c r="S111" i="1" s="1"/>
  <c r="X4" i="12" l="1"/>
  <c r="Y4" i="12" s="1"/>
  <c r="T106" i="1"/>
  <c r="T26" i="12"/>
  <c r="T111" i="1" s="1"/>
  <c r="U26" i="12"/>
  <c r="U111" i="1" s="1"/>
  <c r="U106" i="1"/>
  <c r="Z4" i="12" l="1"/>
  <c r="AA4" i="12" s="1"/>
  <c r="V25" i="12"/>
  <c r="V106" i="1" l="1"/>
  <c r="V26" i="12"/>
  <c r="V111" i="1" s="1"/>
  <c r="W25" i="12"/>
  <c r="X25" i="12" s="1"/>
  <c r="W106" i="1" l="1"/>
  <c r="W26" i="12"/>
  <c r="W111" i="1" s="1"/>
  <c r="X106" i="1"/>
  <c r="X26" i="12"/>
  <c r="X111" i="1" s="1"/>
  <c r="Y25" i="12" l="1"/>
  <c r="Y106" i="1" l="1"/>
  <c r="Y26" i="12"/>
  <c r="Z25" i="12"/>
  <c r="AA25" i="12" s="1"/>
  <c r="Y111" i="1" l="1"/>
  <c r="E29" i="12"/>
  <c r="AA106" i="1"/>
  <c r="AA26" i="12"/>
  <c r="AA111" i="1" s="1"/>
  <c r="Z106" i="1"/>
  <c r="Z26" i="12"/>
  <c r="Z111" i="1" s="1"/>
  <c r="E30" i="12"/>
  <c r="F133" i="1" s="1"/>
  <c r="E133" i="1" l="1"/>
  <c r="D33" i="12"/>
  <c r="F33" i="12" s="1"/>
  <c r="CC9" i="29"/>
  <c r="CC11" i="29" s="1"/>
  <c r="G133" i="1" l="1"/>
  <c r="CB9" i="29"/>
  <c r="H133" i="1" l="1"/>
  <c r="CB11" i="29"/>
  <c r="CE9" i="29"/>
  <c r="CZ8" i="29" l="1"/>
  <c r="DF8" i="29" s="1"/>
  <c r="CE11" i="29"/>
  <c r="CF9" i="29"/>
  <c r="ES9" i="29" l="1"/>
  <c r="EQ18" i="29" l="1"/>
  <c r="ES18" i="29"/>
  <c r="ER18" i="29"/>
  <c r="M15" i="13"/>
  <c r="O40" i="1"/>
  <c r="O244" i="24" s="1"/>
  <c r="N40" i="1"/>
  <c r="N244" i="24" s="1"/>
  <c r="Q15" i="13"/>
  <c r="Q40" i="1" l="1"/>
  <c r="Q244" i="24" s="1"/>
  <c r="N15" i="13"/>
  <c r="L15" i="13"/>
  <c r="K15" i="13"/>
  <c r="O15" i="13"/>
  <c r="J15" i="13"/>
  <c r="P15" i="13"/>
  <c r="J40" i="1" l="1"/>
  <c r="J244" i="24" s="1"/>
  <c r="M40" i="1"/>
  <c r="M244" i="24" s="1"/>
  <c r="K40" i="1"/>
  <c r="K244" i="24" s="1"/>
  <c r="P10" i="1"/>
  <c r="N10" i="1"/>
  <c r="P15" i="1"/>
  <c r="P40" i="1"/>
  <c r="P244" i="24" s="1"/>
  <c r="L40" i="1"/>
  <c r="L244" i="24" s="1"/>
  <c r="P214" i="24" l="1"/>
  <c r="P6" i="24" s="1"/>
  <c r="P47" i="24"/>
  <c r="P37" i="24"/>
  <c r="N214" i="24"/>
  <c r="N6" i="24" s="1"/>
  <c r="N37" i="24"/>
  <c r="N47" i="24"/>
  <c r="Q10" i="1"/>
  <c r="M10" i="1"/>
  <c r="P60" i="1"/>
  <c r="P259" i="24" s="1"/>
  <c r="I40" i="1"/>
  <c r="C40" i="1" s="1"/>
  <c r="P219" i="24"/>
  <c r="P20" i="1"/>
  <c r="P224" i="24" s="1"/>
  <c r="P55" i="1"/>
  <c r="N15" i="1"/>
  <c r="O10" i="1"/>
  <c r="O214" i="24" l="1"/>
  <c r="O6" i="24" s="1"/>
  <c r="O37" i="24"/>
  <c r="O47" i="24"/>
  <c r="M214" i="24"/>
  <c r="O154" i="24" s="1"/>
  <c r="M37" i="24"/>
  <c r="M47" i="24"/>
  <c r="Q214" i="24"/>
  <c r="Q6" i="24" s="1"/>
  <c r="Q37" i="24"/>
  <c r="Q47" i="24"/>
  <c r="N55" i="1"/>
  <c r="P65" i="1"/>
  <c r="M15" i="1"/>
  <c r="N60" i="1"/>
  <c r="N259" i="24" s="1"/>
  <c r="Q15" i="1"/>
  <c r="L10" i="1"/>
  <c r="O15" i="1"/>
  <c r="J10" i="1"/>
  <c r="N219" i="24"/>
  <c r="N20" i="1"/>
  <c r="N224" i="24" s="1"/>
  <c r="P105" i="1"/>
  <c r="K10" i="1"/>
  <c r="I244" i="24"/>
  <c r="I10" i="1"/>
  <c r="I15" i="13"/>
  <c r="C15" i="13" s="1"/>
  <c r="M6" i="24" l="1"/>
  <c r="L214" i="24"/>
  <c r="L6" i="24" s="1"/>
  <c r="L47" i="24"/>
  <c r="L37" i="24"/>
  <c r="I47" i="24"/>
  <c r="I37" i="24"/>
  <c r="K214" i="24"/>
  <c r="K6" i="24" s="1"/>
  <c r="K47" i="24"/>
  <c r="K37" i="24"/>
  <c r="J214" i="24"/>
  <c r="J6" i="24" s="1"/>
  <c r="J47" i="24"/>
  <c r="J37" i="24"/>
  <c r="C10" i="1"/>
  <c r="P5" i="13"/>
  <c r="Q219" i="24"/>
  <c r="Q20" i="1"/>
  <c r="Q224" i="24" s="1"/>
  <c r="O20" i="1"/>
  <c r="O224" i="24" s="1"/>
  <c r="O219" i="24"/>
  <c r="Q55" i="1"/>
  <c r="I214" i="24"/>
  <c r="J15" i="1"/>
  <c r="N105" i="1"/>
  <c r="M219" i="24"/>
  <c r="M20" i="1"/>
  <c r="M224" i="24" s="1"/>
  <c r="P75" i="1"/>
  <c r="N65" i="1"/>
  <c r="I15" i="1"/>
  <c r="K15" i="1"/>
  <c r="L15" i="1"/>
  <c r="Q60" i="1"/>
  <c r="Q259" i="24" s="1"/>
  <c r="P154" i="24"/>
  <c r="P169" i="24" s="1"/>
  <c r="O169" i="24"/>
  <c r="BZ15" i="29"/>
  <c r="P110" i="1"/>
  <c r="O55" i="1"/>
  <c r="M60" i="1"/>
  <c r="M259" i="24" s="1"/>
  <c r="O179" i="24" s="1"/>
  <c r="O60" i="1"/>
  <c r="O259" i="24" s="1"/>
  <c r="M55" i="1"/>
  <c r="C15" i="1" l="1"/>
  <c r="C20" i="1" s="1"/>
  <c r="P179" i="24"/>
  <c r="P184" i="24" s="1"/>
  <c r="K60" i="1"/>
  <c r="K259" i="24" s="1"/>
  <c r="M65" i="1"/>
  <c r="L55" i="1"/>
  <c r="K20" i="1"/>
  <c r="K224" i="24" s="1"/>
  <c r="K219" i="24"/>
  <c r="N75" i="1"/>
  <c r="L60" i="1"/>
  <c r="L259" i="24" s="1"/>
  <c r="J55" i="1"/>
  <c r="O105" i="1"/>
  <c r="O184" i="24"/>
  <c r="N5" i="13"/>
  <c r="I20" i="1"/>
  <c r="I224" i="24" s="1"/>
  <c r="I219" i="24"/>
  <c r="BX15" i="29"/>
  <c r="N110" i="1"/>
  <c r="J60" i="1"/>
  <c r="J259" i="24" s="1"/>
  <c r="O65" i="1"/>
  <c r="Q169" i="24"/>
  <c r="R144" i="24" s="1"/>
  <c r="L219" i="24"/>
  <c r="L20" i="1"/>
  <c r="L224" i="24" s="1"/>
  <c r="K55" i="1"/>
  <c r="I55" i="1"/>
  <c r="P85" i="1"/>
  <c r="P269" i="24" s="1"/>
  <c r="P16" i="24" s="1"/>
  <c r="J219" i="24"/>
  <c r="J20" i="1"/>
  <c r="J224" i="24" s="1"/>
  <c r="I6" i="24"/>
  <c r="Q65" i="1"/>
  <c r="C55" i="1" l="1"/>
  <c r="O5" i="13"/>
  <c r="M105" i="1"/>
  <c r="I60" i="1"/>
  <c r="C60" i="1" s="1"/>
  <c r="M75" i="1"/>
  <c r="Q105" i="1"/>
  <c r="Q184" i="24"/>
  <c r="O75" i="1"/>
  <c r="O110" i="1"/>
  <c r="BY15" i="29"/>
  <c r="M5" i="13"/>
  <c r="I65" i="1"/>
  <c r="Q75" i="1"/>
  <c r="P30" i="1"/>
  <c r="P239" i="24" s="1"/>
  <c r="K65" i="1"/>
  <c r="J65" i="1"/>
  <c r="N85" i="1"/>
  <c r="N269" i="24" s="1"/>
  <c r="N16" i="24" s="1"/>
  <c r="L65" i="1"/>
  <c r="C65" i="1" l="1"/>
  <c r="Q5" i="13"/>
  <c r="M110" i="1"/>
  <c r="K75" i="1"/>
  <c r="P45" i="1"/>
  <c r="P249" i="24" s="1"/>
  <c r="R169" i="24"/>
  <c r="R184" i="24"/>
  <c r="M85" i="1"/>
  <c r="M269" i="24" s="1"/>
  <c r="M16" i="24" s="1"/>
  <c r="J75" i="1"/>
  <c r="P53" i="24"/>
  <c r="P58" i="24"/>
  <c r="P63" i="24"/>
  <c r="P11" i="24"/>
  <c r="Q85" i="1"/>
  <c r="Q269" i="24" s="1"/>
  <c r="Q16" i="24" s="1"/>
  <c r="R105" i="1"/>
  <c r="I75" i="1"/>
  <c r="Q110" i="1"/>
  <c r="CA15" i="29"/>
  <c r="L75" i="1"/>
  <c r="N30" i="1"/>
  <c r="N239" i="24" s="1"/>
  <c r="O85" i="1"/>
  <c r="O269" i="24" s="1"/>
  <c r="O16" i="24" s="1"/>
  <c r="I259" i="24"/>
  <c r="J5" i="13" l="1"/>
  <c r="C75" i="1"/>
  <c r="R110" i="1"/>
  <c r="J67" i="13"/>
  <c r="P90" i="1"/>
  <c r="P274" i="24" s="1"/>
  <c r="K5" i="13"/>
  <c r="S110" i="1"/>
  <c r="S105" i="1"/>
  <c r="L5" i="13"/>
  <c r="K85" i="1"/>
  <c r="K269" i="24" s="1"/>
  <c r="K16" i="24" s="1"/>
  <c r="N45" i="1"/>
  <c r="N249" i="24" s="1"/>
  <c r="L85" i="1"/>
  <c r="L269" i="24" s="1"/>
  <c r="L16" i="24" s="1"/>
  <c r="Q30" i="1"/>
  <c r="Q239" i="24" s="1"/>
  <c r="J85" i="1"/>
  <c r="J269" i="24" s="1"/>
  <c r="J16" i="24" s="1"/>
  <c r="P68" i="24"/>
  <c r="BW15" i="29"/>
  <c r="O30" i="1"/>
  <c r="O239" i="24" s="1"/>
  <c r="N63" i="24"/>
  <c r="N53" i="24"/>
  <c r="N58" i="24"/>
  <c r="N11" i="24"/>
  <c r="I85" i="1"/>
  <c r="M30" i="1"/>
  <c r="M239" i="24" s="1"/>
  <c r="D131" i="1"/>
  <c r="C85" i="1" l="1"/>
  <c r="N90" i="1"/>
  <c r="N274" i="24" s="1"/>
  <c r="J177" i="13"/>
  <c r="M58" i="24"/>
  <c r="M63" i="24"/>
  <c r="M53" i="24"/>
  <c r="M11" i="24"/>
  <c r="Q45" i="1"/>
  <c r="Q249" i="24" s="1"/>
  <c r="T105" i="1"/>
  <c r="P114" i="24"/>
  <c r="M45" i="1"/>
  <c r="M249" i="24" s="1"/>
  <c r="I30" i="1"/>
  <c r="O11" i="24"/>
  <c r="O58" i="24"/>
  <c r="O63" i="24"/>
  <c r="O53" i="24"/>
  <c r="K30" i="1"/>
  <c r="K239" i="24" s="1"/>
  <c r="I269" i="24"/>
  <c r="I16" i="24" s="1"/>
  <c r="Q11" i="24"/>
  <c r="Q58" i="24"/>
  <c r="Q53" i="24"/>
  <c r="Q63" i="24"/>
  <c r="L67" i="13"/>
  <c r="O45" i="1"/>
  <c r="O249" i="24" s="1"/>
  <c r="J30" i="1"/>
  <c r="J239" i="24" s="1"/>
  <c r="L30" i="1"/>
  <c r="L239" i="24" s="1"/>
  <c r="N68" i="24"/>
  <c r="K67" i="13"/>
  <c r="C30" i="1" l="1"/>
  <c r="I45" i="1"/>
  <c r="M90" i="1"/>
  <c r="M274" i="24" s="1"/>
  <c r="Q68" i="24"/>
  <c r="L11" i="24"/>
  <c r="L63" i="24"/>
  <c r="L58" i="24"/>
  <c r="L53" i="24"/>
  <c r="M68" i="24"/>
  <c r="Q90" i="1"/>
  <c r="Q274" i="24" s="1"/>
  <c r="N114" i="24"/>
  <c r="K177" i="13"/>
  <c r="L45" i="1"/>
  <c r="L249" i="24" s="1"/>
  <c r="J58" i="24"/>
  <c r="J11" i="24"/>
  <c r="J53" i="24"/>
  <c r="J63" i="24"/>
  <c r="O68" i="24"/>
  <c r="L177" i="13"/>
  <c r="O90" i="1"/>
  <c r="O274" i="24" s="1"/>
  <c r="K11" i="24"/>
  <c r="K63" i="24"/>
  <c r="K58" i="24"/>
  <c r="K53" i="24"/>
  <c r="K45" i="1"/>
  <c r="K249" i="24" s="1"/>
  <c r="I5" i="13"/>
  <c r="C5" i="13" s="1"/>
  <c r="J45" i="1"/>
  <c r="J249" i="24" s="1"/>
  <c r="I239" i="24"/>
  <c r="U105" i="1"/>
  <c r="U110" i="1"/>
  <c r="C45" i="1" l="1"/>
  <c r="I249" i="24"/>
  <c r="J68" i="24"/>
  <c r="J198" i="24"/>
  <c r="J201" i="24" s="1"/>
  <c r="K68" i="24"/>
  <c r="K198" i="24"/>
  <c r="K201" i="24" s="1"/>
  <c r="L68" i="24"/>
  <c r="L198" i="24"/>
  <c r="L201" i="24" s="1"/>
  <c r="I90" i="1"/>
  <c r="I11" i="24"/>
  <c r="I58" i="24"/>
  <c r="I53" i="24"/>
  <c r="I63" i="24"/>
  <c r="T110" i="1"/>
  <c r="M26" i="24"/>
  <c r="M21" i="24"/>
  <c r="M114" i="24"/>
  <c r="J90" i="1"/>
  <c r="J274" i="24" s="1"/>
  <c r="I67" i="13"/>
  <c r="V105" i="1"/>
  <c r="K90" i="1"/>
  <c r="K274" i="24" s="1"/>
  <c r="O114" i="24"/>
  <c r="L90" i="1"/>
  <c r="L274" i="24" s="1"/>
  <c r="Q114" i="24"/>
  <c r="C90" i="1" l="1"/>
  <c r="K26" i="24"/>
  <c r="K114" i="24"/>
  <c r="K134" i="24" s="1"/>
  <c r="K21" i="24"/>
  <c r="I177" i="13"/>
  <c r="K202" i="24"/>
  <c r="K204" i="24"/>
  <c r="K203" i="24"/>
  <c r="I198" i="24"/>
  <c r="I201" i="24" s="1"/>
  <c r="I68" i="24"/>
  <c r="L21" i="24"/>
  <c r="L26" i="24"/>
  <c r="L114" i="24"/>
  <c r="L134" i="24" s="1"/>
  <c r="L203" i="24"/>
  <c r="L202" i="24"/>
  <c r="L204" i="24"/>
  <c r="J202" i="24"/>
  <c r="J204" i="24"/>
  <c r="J203" i="24"/>
  <c r="J21" i="24"/>
  <c r="J26" i="24"/>
  <c r="J114" i="24"/>
  <c r="J134" i="24" s="1"/>
  <c r="W110" i="1"/>
  <c r="W105" i="1"/>
  <c r="I274" i="24"/>
  <c r="I204" i="24" l="1"/>
  <c r="I202" i="24"/>
  <c r="I203" i="24"/>
  <c r="X110" i="1"/>
  <c r="X105" i="1"/>
  <c r="I114" i="24"/>
  <c r="I134" i="24" s="1"/>
  <c r="V110" i="1"/>
  <c r="Y105" i="1" l="1"/>
  <c r="Z110" i="1" l="1"/>
  <c r="Z105" i="1"/>
  <c r="Y110" i="1"/>
  <c r="AA105" i="1" l="1"/>
  <c r="AA110" i="1" l="1"/>
  <c r="E131" i="1" l="1"/>
  <c r="CB15" i="29" l="1"/>
  <c r="CF14" i="29" l="1"/>
  <c r="H35" i="6" l="1"/>
  <c r="H65" i="6" l="1"/>
  <c r="H346" i="24" s="1"/>
  <c r="H316" i="24"/>
  <c r="H119" i="24" s="1"/>
  <c r="H129" i="24" s="1"/>
  <c r="H134" i="24" s="1"/>
  <c r="H166" i="6" l="1"/>
  <c r="H197" i="24"/>
  <c r="I26" i="24"/>
  <c r="H196" i="24"/>
  <c r="H198" i="24"/>
  <c r="I21" i="24"/>
  <c r="H32" i="24"/>
  <c r="H200" i="24"/>
  <c r="H201" i="24" l="1"/>
  <c r="H202" i="24" s="1"/>
  <c r="N35" i="6"/>
  <c r="N316" i="24" s="1"/>
  <c r="M35" i="6"/>
  <c r="N92" i="6"/>
  <c r="N373" i="24" s="1"/>
  <c r="M92" i="6"/>
  <c r="O35" i="6" l="1"/>
  <c r="O316" i="24" s="1"/>
  <c r="H204" i="24"/>
  <c r="H203" i="24"/>
  <c r="P35" i="6"/>
  <c r="P316" i="24" s="1"/>
  <c r="M316" i="24"/>
  <c r="N65" i="6"/>
  <c r="N346" i="24" s="1"/>
  <c r="M65" i="6"/>
  <c r="M346" i="24" s="1"/>
  <c r="N378" i="24"/>
  <c r="M107" i="6"/>
  <c r="M393" i="24" s="1"/>
  <c r="M378" i="24"/>
  <c r="O92" i="6"/>
  <c r="O373" i="24" s="1"/>
  <c r="N107" i="6"/>
  <c r="N393" i="24" s="1"/>
  <c r="N10" i="13"/>
  <c r="M373" i="24"/>
  <c r="M10" i="13"/>
  <c r="O65" i="6" l="1"/>
  <c r="O346" i="24" s="1"/>
  <c r="O32" i="24" s="1"/>
  <c r="M197" i="24"/>
  <c r="M200" i="24"/>
  <c r="M32" i="24"/>
  <c r="M198" i="24"/>
  <c r="N200" i="24"/>
  <c r="N197" i="24"/>
  <c r="N32" i="24"/>
  <c r="N198" i="24"/>
  <c r="P65" i="6"/>
  <c r="P346" i="24" s="1"/>
  <c r="O378" i="24"/>
  <c r="O107" i="6"/>
  <c r="O393" i="24" s="1"/>
  <c r="N78" i="24"/>
  <c r="N119" i="24"/>
  <c r="N129" i="24" s="1"/>
  <c r="N134" i="24" s="1"/>
  <c r="N196" i="24"/>
  <c r="O21" i="24"/>
  <c r="O26" i="24"/>
  <c r="N73" i="24"/>
  <c r="O10" i="13"/>
  <c r="N67" i="13"/>
  <c r="N154" i="6"/>
  <c r="N21" i="24"/>
  <c r="M78" i="24"/>
  <c r="M119" i="24"/>
  <c r="M129" i="24" s="1"/>
  <c r="M134" i="24" s="1"/>
  <c r="M196" i="24"/>
  <c r="N26" i="24"/>
  <c r="M73" i="24"/>
  <c r="M154" i="6"/>
  <c r="M99" i="24"/>
  <c r="M199" i="24"/>
  <c r="M67" i="13"/>
  <c r="N199" i="24"/>
  <c r="N99" i="24"/>
  <c r="O200" i="24" l="1"/>
  <c r="P92" i="6"/>
  <c r="P373" i="24" s="1"/>
  <c r="O198" i="24"/>
  <c r="O197" i="24"/>
  <c r="Q92" i="6"/>
  <c r="Q373" i="24" s="1"/>
  <c r="P197" i="24"/>
  <c r="P200" i="24"/>
  <c r="P32" i="24"/>
  <c r="P198" i="24"/>
  <c r="Q35" i="6"/>
  <c r="M201" i="24"/>
  <c r="M203" i="24" s="1"/>
  <c r="Q107" i="6"/>
  <c r="Q393" i="24" s="1"/>
  <c r="M177" i="13"/>
  <c r="P26" i="24"/>
  <c r="O78" i="24"/>
  <c r="O73" i="24"/>
  <c r="P21" i="24"/>
  <c r="O119" i="24"/>
  <c r="O129" i="24" s="1"/>
  <c r="O134" i="24" s="1"/>
  <c r="O196" i="24"/>
  <c r="N177" i="13"/>
  <c r="O199" i="24"/>
  <c r="O99" i="24"/>
  <c r="M166" i="6"/>
  <c r="M440" i="24"/>
  <c r="P10" i="13"/>
  <c r="Q10" i="13"/>
  <c r="N166" i="6"/>
  <c r="N440" i="24"/>
  <c r="O154" i="6"/>
  <c r="N201" i="24"/>
  <c r="P107" i="6"/>
  <c r="O67" i="13"/>
  <c r="P378" i="24" l="1"/>
  <c r="Q26" i="24" s="1"/>
  <c r="C92" i="6"/>
  <c r="C10" i="13"/>
  <c r="Q378" i="24"/>
  <c r="Q73" i="24" s="1"/>
  <c r="M202" i="24"/>
  <c r="Q316" i="24"/>
  <c r="C35" i="6"/>
  <c r="M204" i="24"/>
  <c r="Q65" i="6"/>
  <c r="Q346" i="24" s="1"/>
  <c r="P393" i="24"/>
  <c r="O166" i="6"/>
  <c r="O440" i="24"/>
  <c r="Q154" i="6"/>
  <c r="Q67" i="13"/>
  <c r="N202" i="24"/>
  <c r="N204" i="24"/>
  <c r="N203" i="24"/>
  <c r="Q199" i="24"/>
  <c r="Q99" i="24"/>
  <c r="O177" i="13"/>
  <c r="P67" i="13"/>
  <c r="P154" i="6"/>
  <c r="O201" i="24"/>
  <c r="P78" i="24" l="1"/>
  <c r="P73" i="24"/>
  <c r="P196" i="24"/>
  <c r="P119" i="24"/>
  <c r="P129" i="24" s="1"/>
  <c r="P134" i="24" s="1"/>
  <c r="Q21" i="24"/>
  <c r="Q196" i="24"/>
  <c r="Q78" i="24"/>
  <c r="Q119" i="24"/>
  <c r="Q129" i="24" s="1"/>
  <c r="Q134" i="24" s="1"/>
  <c r="C65" i="6"/>
  <c r="Q200" i="24"/>
  <c r="Q32" i="24"/>
  <c r="Q197" i="24"/>
  <c r="Q198" i="24"/>
  <c r="P177" i="13"/>
  <c r="P99" i="24"/>
  <c r="P199" i="24"/>
  <c r="O202" i="24"/>
  <c r="O203" i="24"/>
  <c r="O204" i="24"/>
  <c r="P166" i="6"/>
  <c r="P440" i="24"/>
  <c r="Q177" i="13"/>
  <c r="Q166" i="6"/>
  <c r="Q440" i="24"/>
  <c r="P201" i="24" l="1"/>
  <c r="P202" i="24" s="1"/>
  <c r="Q201" i="24"/>
  <c r="Q204" i="24" s="1"/>
  <c r="P204" i="24" l="1"/>
  <c r="P203" i="24"/>
  <c r="Q202" i="24"/>
  <c r="Q203" i="24"/>
  <c r="D130" i="6"/>
  <c r="C130" i="6" s="1"/>
  <c r="D36" i="7"/>
  <c r="D140" i="6" l="1"/>
  <c r="D426" i="24" s="1"/>
  <c r="D85" i="24" s="1"/>
  <c r="D416" i="24"/>
  <c r="D38" i="7"/>
  <c r="D39" i="7" s="1"/>
  <c r="C140" i="6" l="1"/>
  <c r="D95" i="24"/>
  <c r="D90" i="24"/>
  <c r="D150" i="6"/>
  <c r="C150" i="6" s="1"/>
  <c r="E17" i="24"/>
  <c r="D43" i="7"/>
  <c r="D155" i="6" l="1"/>
  <c r="D167" i="6" s="1"/>
  <c r="D436" i="24"/>
  <c r="D100" i="24" s="1"/>
  <c r="D441" i="24" l="1"/>
  <c r="C155" i="6"/>
  <c r="C167" i="6"/>
  <c r="D132" i="6"/>
  <c r="C132" i="6" s="1"/>
  <c r="D36" i="16"/>
  <c r="D142" i="6" l="1"/>
  <c r="C142" i="6" s="1"/>
  <c r="D418" i="24"/>
  <c r="D38" i="16"/>
  <c r="D129" i="6"/>
  <c r="D139" i="6" l="1"/>
  <c r="D425" i="24" s="1"/>
  <c r="D89" i="24" s="1"/>
  <c r="D428" i="24"/>
  <c r="D152" i="6"/>
  <c r="C152" i="6" s="1"/>
  <c r="C129" i="6"/>
  <c r="D415" i="24"/>
  <c r="D197" i="24" s="1"/>
  <c r="D99" i="24" l="1"/>
  <c r="D94" i="24"/>
  <c r="C139" i="6"/>
  <c r="E16" i="24"/>
  <c r="D84" i="24"/>
  <c r="D92" i="24"/>
  <c r="E19" i="24"/>
  <c r="D97" i="24"/>
  <c r="D87" i="24"/>
  <c r="D149" i="6"/>
  <c r="D435" i="24" s="1"/>
  <c r="D438" i="24"/>
  <c r="C149" i="6" l="1"/>
  <c r="D80" i="6" l="1"/>
  <c r="D27" i="16"/>
  <c r="D41" i="16"/>
  <c r="FA18" i="29" s="1"/>
  <c r="FA20" i="29" s="1"/>
  <c r="D361" i="24" l="1"/>
  <c r="D110" i="6"/>
  <c r="C110" i="6" s="1"/>
  <c r="D163" i="6"/>
  <c r="D77" i="6"/>
  <c r="D47" i="24" s="1"/>
  <c r="E19" i="22"/>
  <c r="E45" i="22" s="1"/>
  <c r="E47" i="22" s="1"/>
  <c r="E24" i="15"/>
  <c r="E60" i="13"/>
  <c r="C60" i="13" s="1"/>
  <c r="D39" i="16"/>
  <c r="C80" i="6"/>
  <c r="D107" i="24" l="1"/>
  <c r="D381" i="24"/>
  <c r="D43" i="16"/>
  <c r="E49" i="22"/>
  <c r="F46" i="22"/>
  <c r="D107" i="6"/>
  <c r="D393" i="24" s="1"/>
  <c r="D199" i="24" s="1"/>
  <c r="D396" i="24"/>
  <c r="D102" i="24" s="1"/>
  <c r="D157" i="6"/>
  <c r="E25" i="15"/>
  <c r="E103" i="1"/>
  <c r="E100" i="1" s="1"/>
  <c r="C100" i="1" s="1"/>
  <c r="C163" i="6"/>
  <c r="E70" i="13"/>
  <c r="E57" i="13"/>
  <c r="C57" i="13" s="1"/>
  <c r="C77" i="6"/>
  <c r="D358" i="24"/>
  <c r="D160" i="6"/>
  <c r="C160" i="6" s="1"/>
  <c r="E108" i="1" l="1"/>
  <c r="E105" i="1" s="1"/>
  <c r="C103" i="1"/>
  <c r="E29" i="24"/>
  <c r="D76" i="24"/>
  <c r="D378" i="24"/>
  <c r="E24" i="24"/>
  <c r="D122" i="24"/>
  <c r="D132" i="24" s="1"/>
  <c r="D137" i="24" s="1"/>
  <c r="D81" i="24"/>
  <c r="D443" i="24"/>
  <c r="D154" i="6"/>
  <c r="C154" i="6" s="1"/>
  <c r="D169" i="6"/>
  <c r="F185" i="13"/>
  <c r="F47" i="22"/>
  <c r="D104" i="24"/>
  <c r="E67" i="13"/>
  <c r="C67" i="13" s="1"/>
  <c r="E180" i="13"/>
  <c r="C157" i="6"/>
  <c r="C107" i="6"/>
  <c r="F135" i="1" l="1"/>
  <c r="F131" i="1" s="1"/>
  <c r="D33" i="15"/>
  <c r="E190" i="13"/>
  <c r="E177" i="13"/>
  <c r="C177" i="13" s="1"/>
  <c r="C169" i="6"/>
  <c r="F182" i="13"/>
  <c r="F190" i="13"/>
  <c r="D78" i="24"/>
  <c r="D119" i="24"/>
  <c r="D129" i="24" s="1"/>
  <c r="D134" i="24" s="1"/>
  <c r="E26" i="24"/>
  <c r="D196" i="24"/>
  <c r="D201" i="24" s="1"/>
  <c r="D73" i="24"/>
  <c r="E21" i="24"/>
  <c r="F49" i="22"/>
  <c r="G46" i="22"/>
  <c r="D166" i="6"/>
  <c r="C166" i="6" s="1"/>
  <c r="D440" i="24"/>
  <c r="CC13" i="29" l="1"/>
  <c r="G135" i="1"/>
  <c r="F33" i="15"/>
  <c r="G185" i="13"/>
  <c r="G47" i="22"/>
  <c r="D204" i="24"/>
  <c r="D202" i="24"/>
  <c r="D203" i="24"/>
  <c r="F187" i="13"/>
  <c r="F192" i="13" s="1"/>
  <c r="F195" i="13"/>
  <c r="E195" i="13"/>
  <c r="E187" i="13"/>
  <c r="E192" i="13" s="1"/>
  <c r="CE13" i="29" l="1"/>
  <c r="CF18" i="29" s="1"/>
  <c r="CC15" i="29"/>
  <c r="H135" i="1"/>
  <c r="G131" i="1"/>
  <c r="G49" i="22"/>
  <c r="H46" i="22"/>
  <c r="G182" i="13"/>
  <c r="G190" i="13"/>
  <c r="CZ10" i="29" l="1"/>
  <c r="CE15" i="29"/>
  <c r="DE29" i="29" s="1"/>
  <c r="I131" i="1"/>
  <c r="BP14" i="29"/>
  <c r="H185" i="13"/>
  <c r="H47" i="22"/>
  <c r="G195" i="13"/>
  <c r="G187" i="13"/>
  <c r="G192" i="13" s="1"/>
  <c r="DE8" i="29" l="1"/>
  <c r="DE9" i="29"/>
  <c r="ES11" i="29"/>
  <c r="DF10" i="29"/>
  <c r="DE10" i="29"/>
  <c r="CF20" i="29"/>
  <c r="BP19" i="29"/>
  <c r="CN7" i="29" s="1"/>
  <c r="CE16" i="29"/>
  <c r="I46" i="22"/>
  <c r="H49" i="22"/>
  <c r="H182" i="13"/>
  <c r="H190" i="13"/>
  <c r="ER20" i="29" l="1"/>
  <c r="ES20" i="29"/>
  <c r="EQ20" i="29"/>
  <c r="CO27" i="29"/>
  <c r="CM27" i="29"/>
  <c r="CN27" i="29" s="1"/>
  <c r="H195" i="13"/>
  <c r="H187" i="13"/>
  <c r="H192" i="13" s="1"/>
  <c r="I47" i="22"/>
  <c r="I185" i="13"/>
  <c r="I182" i="13" l="1"/>
  <c r="I190" i="13"/>
  <c r="J46" i="22"/>
  <c r="I49" i="22"/>
  <c r="I195" i="13" l="1"/>
  <c r="I187" i="13"/>
  <c r="I192" i="13" s="1"/>
  <c r="J185" i="13"/>
  <c r="J47" i="22"/>
  <c r="K46" i="22" l="1"/>
  <c r="J49" i="22"/>
  <c r="J182" i="13"/>
  <c r="J190" i="13"/>
  <c r="J187" i="13" l="1"/>
  <c r="J192" i="13" s="1"/>
  <c r="J195" i="13"/>
  <c r="K185" i="13"/>
  <c r="K47" i="22"/>
  <c r="K49" i="22" l="1"/>
  <c r="L46" i="22"/>
  <c r="K182" i="13"/>
  <c r="K190" i="13"/>
  <c r="L185" i="13" l="1"/>
  <c r="L47" i="22"/>
  <c r="K195" i="13"/>
  <c r="K187" i="13"/>
  <c r="K192" i="13" s="1"/>
  <c r="L182" i="13" l="1"/>
  <c r="L190" i="13"/>
  <c r="M46" i="22"/>
  <c r="L49" i="22"/>
  <c r="L195" i="13" l="1"/>
  <c r="L187" i="13"/>
  <c r="L192" i="13" s="1"/>
  <c r="M185" i="13"/>
  <c r="M47" i="22"/>
  <c r="M182" i="13" l="1"/>
  <c r="M190" i="13"/>
  <c r="M49" i="22"/>
  <c r="N46" i="22"/>
  <c r="M195" i="13" l="1"/>
  <c r="M187" i="13"/>
  <c r="M192" i="13" s="1"/>
  <c r="N185" i="13"/>
  <c r="N47" i="22"/>
  <c r="N190" i="13" l="1"/>
  <c r="N182" i="13"/>
  <c r="N49" i="22"/>
  <c r="O46" i="22"/>
  <c r="O185" i="13" l="1"/>
  <c r="O47" i="22"/>
  <c r="N187" i="13"/>
  <c r="N192" i="13" s="1"/>
  <c r="N195" i="13"/>
  <c r="O190" i="13" l="1"/>
  <c r="O182" i="13"/>
  <c r="O49" i="22"/>
  <c r="P46" i="22"/>
  <c r="O195" i="13" l="1"/>
  <c r="O187" i="13"/>
  <c r="O192" i="13" s="1"/>
  <c r="P185" i="13"/>
  <c r="P47" i="22"/>
  <c r="P182" i="13" l="1"/>
  <c r="P190" i="13"/>
  <c r="Q46" i="22"/>
  <c r="P49" i="22"/>
  <c r="P195" i="13" l="1"/>
  <c r="P187" i="13"/>
  <c r="P192" i="13" s="1"/>
  <c r="Q185" i="13"/>
  <c r="C185" i="13" s="1"/>
  <c r="Q47" i="22"/>
  <c r="Q49" i="22" s="1"/>
  <c r="Q182" i="13" l="1"/>
  <c r="C182" i="13" s="1"/>
  <c r="Q190" i="13"/>
  <c r="Q195" i="13" l="1"/>
  <c r="Q187" i="13"/>
  <c r="Q192" i="13" s="1"/>
  <c r="C195" i="13"/>
  <c r="C192" i="13" l="1"/>
  <c r="C1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95" authorId="0" shapeId="0" xr:uid="{00000000-0006-0000-0300-000001000000}">
      <text>
        <r>
          <rPr>
            <sz val="8"/>
            <color indexed="81"/>
            <rFont val="Tahoma"/>
            <family val="2"/>
          </rPr>
          <t xml:space="preserve">Working Capital </t>
        </r>
        <r>
          <rPr>
            <b/>
            <sz val="8"/>
            <color indexed="81"/>
            <rFont val="Tahoma"/>
            <family val="2"/>
          </rPr>
          <t>plus</t>
        </r>
        <r>
          <rPr>
            <sz val="8"/>
            <color indexed="81"/>
            <rFont val="Tahoma"/>
            <family val="2"/>
          </rPr>
          <t xml:space="preserve"> Proceeds from sale of equipment (from Balance Sheet)</t>
        </r>
      </text>
    </comment>
    <comment ref="B100" authorId="0" shapeId="0" xr:uid="{00000000-0006-0000-0300-000002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 xml:space="preserve">(Δ) Accounts and Notes Receivable (from Balance Sheet)
(Δ) Inventories (from Balance Sheet)
(Δ) Assets Held for Sale (from Balance Sheet)
(Δ) Other Assets (from Balance Sheet)
(Δ) A/P and Other Accrued Liabilities (from Balance Sheet)
(Δ) Deferred Revenue (from Balance Sheet)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5" authorId="0" shapeId="0" xr:uid="{00000000-0006-0000-0500-000001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(+) Net Earnings (from P&amp;L)</t>
        </r>
      </text>
    </comment>
    <comment ref="B10" authorId="0" shapeId="0" xr:uid="{00000000-0006-0000-0500-000002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(Δ) </t>
        </r>
        <r>
          <rPr>
            <sz val="10"/>
            <color indexed="81"/>
            <rFont val="Times New Roman"/>
            <family val="1"/>
          </rPr>
          <t>Change in Deferred Income Taxes (from Balance Sheet)
(-) FSP Adjustment: Tax 'Catch-up' Amort (from Debt Schedule; Reflected in CORcf)</t>
        </r>
      </text>
    </comment>
    <comment ref="B15" authorId="0" shapeId="0" xr:uid="{00000000-0006-0000-0500-000003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(+) D&amp;A Expense (from P&amp;L)</t>
        </r>
      </text>
    </comment>
    <comment ref="B20" authorId="0" shapeId="0" xr:uid="{00000000-0006-0000-0500-000004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(-) "Gain On Sale" Revenue (from worksheet on P&amp;L)</t>
        </r>
      </text>
    </comment>
    <comment ref="B25" authorId="0" shapeId="0" xr:uid="{00000000-0006-0000-0500-000005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(+) Impairment &amp; Special Charges (from P&amp;L)</t>
        </r>
      </text>
    </comment>
    <comment ref="B30" authorId="0" shapeId="0" xr:uid="{00000000-0006-0000-0500-000006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(-) Earnings attributable to non-controlling int. (from P&amp;L)
(+) Restricted Stock Amortization (from Debt Schedule; Reflected in CORcf)
(+) WLR Debt Discount (from Debt Schedule; Reflected in CORcf)</t>
        </r>
      </text>
    </comment>
    <comment ref="B36" authorId="0" shapeId="0" xr:uid="{00000000-0006-0000-0500-000007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Accounts Receivable (from Balance Sheet)</t>
        </r>
      </text>
    </comment>
    <comment ref="B41" authorId="0" shapeId="0" xr:uid="{00000000-0006-0000-0500-000008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Inventories (from Balance Sheet)</t>
        </r>
      </text>
    </comment>
    <comment ref="B46" authorId="0" shapeId="0" xr:uid="{00000000-0006-0000-0500-000009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Assets Held for Sale (from Balance Sheet)</t>
        </r>
      </text>
    </comment>
    <comment ref="B51" authorId="0" shapeId="0" xr:uid="{00000000-0006-0000-0500-00000A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Intangibles &amp; Other Assets (from Balance Sheet)</t>
        </r>
      </text>
    </comment>
    <comment ref="B57" authorId="0" shapeId="0" xr:uid="{00000000-0006-0000-0500-00000B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(Δ) Accounts payable &amp; other accrued liabilities (from Balance Sheet, used as a plug to balance)
(-) FSP Adjustment: Equity 'Catch-up' Amort (from Debt Schedule; Reflected in CORcf)</t>
        </r>
      </text>
    </comment>
    <comment ref="B62" authorId="0" shapeId="0" xr:uid="{00000000-0006-0000-0500-00000C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Deferred Revenue (from Balance Sheet)</t>
        </r>
      </text>
    </comment>
    <comment ref="B74" authorId="0" shapeId="0" xr:uid="{00000000-0006-0000-0500-00000D000000}">
      <text>
        <r>
          <rPr>
            <b/>
            <u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Restricted Cash (from Balance Sheet)</t>
        </r>
      </text>
    </comment>
    <comment ref="B84" authorId="0" shapeId="0" xr:uid="{00000000-0006-0000-0500-00000E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89" authorId="0" shapeId="0" xr:uid="{00000000-0006-0000-0500-00000F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94" authorId="0" shapeId="0" xr:uid="{00000000-0006-0000-0500-000010000000}">
      <text>
        <r>
          <rPr>
            <b/>
            <u/>
            <sz val="10"/>
            <color indexed="81"/>
            <rFont val="Times New Roman"/>
            <family val="1"/>
          </rPr>
          <t>Includes: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(Δ) Direct finance leases (from Balance Sheet)`</t>
        </r>
      </text>
    </comment>
    <comment ref="B99" authorId="0" shapeId="0" xr:uid="{00000000-0006-0000-0500-000011000000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(-) Expenditures (from CapEx summary)</t>
        </r>
      </text>
    </comment>
    <comment ref="B104" authorId="0" shapeId="0" xr:uid="{00000000-0006-0000-0500-000012000000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(-) Expenditures (from CapEx summary)</t>
        </r>
      </text>
    </comment>
    <comment ref="B116" authorId="0" shapeId="0" xr:uid="{00000000-0006-0000-0500-000013000000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Revolving Notes (from Balance Sheet)</t>
        </r>
      </text>
    </comment>
    <comment ref="B121" authorId="0" shapeId="0" xr:uid="{00000000-0006-0000-0500-000014000000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Notes Payable (from Balance Sheet)
(-) FSP 14-1 Adjustment (from debt schedule)</t>
        </r>
      </text>
    </comment>
    <comment ref="B126" authorId="0" shapeId="0" xr:uid="{00000000-0006-0000-0500-000015000000}">
      <text>
        <r>
          <rPr>
            <b/>
            <sz val="10"/>
            <color indexed="81"/>
            <rFont val="Times New Roman"/>
            <family val="1"/>
          </rPr>
          <t xml:space="preserve">Includes:
</t>
        </r>
        <r>
          <rPr>
            <sz val="10"/>
            <color indexed="81"/>
            <rFont val="Times New Roman"/>
            <family val="1"/>
          </rPr>
          <t>(Δ) Subdebt [hidden rows] (from Balance Sheet)</t>
        </r>
      </text>
    </comment>
    <comment ref="B131" authorId="0" shapeId="0" xr:uid="{00000000-0006-0000-0500-000016000000}">
      <text>
        <r>
          <rPr>
            <b/>
            <sz val="10"/>
            <color indexed="81"/>
            <rFont val="Times New Roman"/>
            <family val="1"/>
          </rPr>
          <t>Includes:
(-)</t>
        </r>
        <r>
          <rPr>
            <sz val="10"/>
            <color indexed="81"/>
            <rFont val="Times New Roman"/>
            <family val="1"/>
          </rPr>
          <t xml:space="preserve">  Quarterly Dividend (from Balance Sheet)  </t>
        </r>
        <r>
          <rPr>
            <sz val="10"/>
            <color indexed="81"/>
            <rFont val="Calibri"/>
            <family val="2"/>
            <scheme val="minor"/>
          </rPr>
          <t xml:space="preserve">x </t>
        </r>
        <r>
          <rPr>
            <sz val="10"/>
            <color indexed="81"/>
            <rFont val="Times New Roman"/>
            <family val="1"/>
          </rPr>
          <t xml:space="preserve"> 
      Diluted wgt avg shares o/s (from P&amp;L)
</t>
        </r>
      </text>
    </comment>
    <comment ref="B136" authorId="0" shapeId="0" xr:uid="{00000000-0006-0000-0500-000017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141" authorId="0" shapeId="0" xr:uid="{00000000-0006-0000-0500-000018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146" authorId="0" shapeId="0" xr:uid="{00000000-0006-0000-0500-000019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151" authorId="0" shapeId="0" xr:uid="{00000000-0006-0000-0500-00001A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156" authorId="0" shapeId="0" xr:uid="{00000000-0006-0000-0500-00001B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  <comment ref="B161" authorId="0" shapeId="0" xr:uid="{00000000-0006-0000-0500-00001C000000}">
      <text>
        <r>
          <rPr>
            <b/>
            <sz val="10"/>
            <color indexed="81"/>
            <rFont val="Times New Roman"/>
            <family val="1"/>
          </rPr>
          <t>No source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114" authorId="0" shapeId="0" xr:uid="{00000000-0006-0000-0600-000001000000}">
      <text>
        <r>
          <rPr>
            <sz val="10"/>
            <color indexed="81"/>
            <rFont val="Tahoma"/>
            <family val="2"/>
          </rPr>
          <t xml:space="preserve">
EBIT * (1 - % tax rate)</t>
        </r>
      </text>
    </comment>
    <comment ref="B119" authorId="0" shapeId="0" xr:uid="{00000000-0006-0000-0600-000002000000}">
      <text>
        <r>
          <rPr>
            <sz val="10"/>
            <color indexed="81"/>
            <rFont val="Tahoma"/>
            <family val="2"/>
          </rPr>
          <t xml:space="preserve">
Current Assets + Net Fixed Assets - (Current Liabilities - S/T Notes Payable)</t>
        </r>
      </text>
    </comment>
    <comment ref="B124" authorId="0" shapeId="0" xr:uid="{00000000-0006-0000-0600-000003000000}">
      <text>
        <r>
          <rPr>
            <sz val="10"/>
            <color indexed="81"/>
            <rFont val="Tahoma"/>
            <family val="2"/>
          </rPr>
          <t xml:space="preserve">
Derived from WACC analysis on Comparables Valuation model</t>
        </r>
      </text>
    </comment>
    <comment ref="B129" authorId="0" shapeId="0" xr:uid="{00000000-0006-0000-0600-000004000000}">
      <text>
        <r>
          <rPr>
            <sz val="10"/>
            <color indexed="81"/>
            <rFont val="Tahoma"/>
            <family val="2"/>
          </rPr>
          <t xml:space="preserve">
Total Operating Capital * After-tax Cost of Capital</t>
        </r>
      </text>
    </comment>
    <comment ref="B134" authorId="0" shapeId="0" xr:uid="{00000000-0006-0000-0600-000005000000}">
      <text>
        <r>
          <rPr>
            <sz val="10"/>
            <color indexed="81"/>
            <rFont val="Tahoma"/>
            <family val="2"/>
          </rPr>
          <t xml:space="preserve">
NOPAT - Dollar Cost of Capital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13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Check</t>
        </r>
        <r>
          <rPr>
            <b/>
            <sz val="8"/>
            <color indexed="81"/>
            <rFont val="Tahoma"/>
            <family val="2"/>
          </rPr>
          <t xml:space="preserve"> 
Total Proceeds &amp; Repayments of Notes
</t>
        </r>
        <r>
          <rPr>
            <sz val="8"/>
            <color indexed="81"/>
            <rFont val="Tahoma"/>
            <family val="2"/>
          </rPr>
          <t>against</t>
        </r>
        <r>
          <rPr>
            <b/>
            <sz val="8"/>
            <color indexed="81"/>
            <rFont val="Tahoma"/>
            <family val="2"/>
          </rPr>
          <t xml:space="preserve">
Proceeds (Repayment) of borrowings on CF Statement</t>
        </r>
      </text>
    </comment>
    <comment ref="B22" authorId="0" shapeId="0" xr:uid="{00000000-0006-0000-0700-000002000000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Check</t>
        </r>
        <r>
          <rPr>
            <b/>
            <sz val="8"/>
            <color indexed="81"/>
            <rFont val="Tahoma"/>
            <family val="2"/>
          </rPr>
          <t xml:space="preserve"> 
Total Principal Balance
</t>
        </r>
        <r>
          <rPr>
            <sz val="8"/>
            <color indexed="81"/>
            <rFont val="Tahoma"/>
            <family val="2"/>
          </rPr>
          <t>against</t>
        </r>
        <r>
          <rPr>
            <b/>
            <sz val="8"/>
            <color indexed="81"/>
            <rFont val="Tahoma"/>
            <family val="2"/>
          </rPr>
          <t xml:space="preserve">
Notes Payable </t>
        </r>
        <r>
          <rPr>
            <sz val="8"/>
            <color indexed="81"/>
            <rFont val="Tahoma"/>
            <family val="2"/>
          </rPr>
          <t>on</t>
        </r>
        <r>
          <rPr>
            <b/>
            <sz val="8"/>
            <color indexed="81"/>
            <rFont val="Tahoma"/>
            <family val="2"/>
          </rPr>
          <t xml:space="preserve"> Balance Sheet</t>
        </r>
      </text>
    </comment>
    <comment ref="D25" authorId="0" shapeId="0" xr:uid="{00000000-0006-0000-0700-000003000000}">
      <text>
        <r>
          <rPr>
            <b/>
            <sz val="8"/>
            <color indexed="81"/>
            <rFont val="Tahoma"/>
            <family val="2"/>
          </rPr>
          <t>plug to tie to Interest Expense on P&amp;Ls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5" authorId="0" shapeId="0" xr:uid="{00000000-0006-0000-0700-000004000000}">
      <text>
        <r>
          <rPr>
            <b/>
            <sz val="8"/>
            <color indexed="81"/>
            <rFont val="Tahoma"/>
            <family val="2"/>
          </rPr>
          <t>plug to tie to Interest Expense on P&amp;Ls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5" authorId="0" shapeId="0" xr:uid="{00000000-0006-0000-0700-000005000000}">
      <text>
        <r>
          <rPr>
            <b/>
            <sz val="8"/>
            <color indexed="81"/>
            <rFont val="Tahoma"/>
            <family val="2"/>
          </rPr>
          <t>plug to tie to Interest Expense on P&amp;Ls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1" authorId="0" shapeId="0" xr:uid="{00000000-0006-0000-0700-000006000000}">
      <text>
        <r>
          <rPr>
            <sz val="8"/>
            <color indexed="81"/>
            <rFont val="Tahoma"/>
            <family val="2"/>
          </rPr>
          <t xml:space="preserve">
Domestic revolver is generated off the Cash Flow Statement's FCF
</t>
        </r>
      </text>
    </comment>
    <comment ref="B37" authorId="0" shapeId="0" xr:uid="{00000000-0006-0000-0700-000007000000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Check</t>
        </r>
        <r>
          <rPr>
            <b/>
            <sz val="8"/>
            <color indexed="81"/>
            <rFont val="Tahoma"/>
            <family val="2"/>
          </rPr>
          <t xml:space="preserve"> 
Ending (outstanding) Balance
</t>
        </r>
        <r>
          <rPr>
            <sz val="8"/>
            <color indexed="81"/>
            <rFont val="Tahoma"/>
            <family val="2"/>
          </rPr>
          <t>against</t>
        </r>
        <r>
          <rPr>
            <b/>
            <sz val="8"/>
            <color indexed="81"/>
            <rFont val="Tahoma"/>
            <family val="2"/>
          </rPr>
          <t xml:space="preserve">
Revolving Notes </t>
        </r>
        <r>
          <rPr>
            <sz val="8"/>
            <color indexed="81"/>
            <rFont val="Tahoma"/>
            <family val="2"/>
          </rPr>
          <t>on</t>
        </r>
        <r>
          <rPr>
            <b/>
            <sz val="8"/>
            <color indexed="81"/>
            <rFont val="Tahoma"/>
            <family val="2"/>
          </rPr>
          <t xml:space="preserve"> Balance Sheet</t>
        </r>
      </text>
    </comment>
    <comment ref="B46" authorId="0" shapeId="0" xr:uid="{00000000-0006-0000-0700-000008000000}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Check</t>
        </r>
        <r>
          <rPr>
            <b/>
            <sz val="8"/>
            <color indexed="81"/>
            <rFont val="Tahoma"/>
            <family val="2"/>
          </rPr>
          <t xml:space="preserve"> 
TOTAL INTEREST EXPENSE
</t>
        </r>
        <r>
          <rPr>
            <sz val="8"/>
            <color indexed="81"/>
            <rFont val="Tahoma"/>
            <family val="2"/>
          </rPr>
          <t>against</t>
        </r>
        <r>
          <rPr>
            <b/>
            <sz val="8"/>
            <color indexed="81"/>
            <rFont val="Tahoma"/>
            <family val="2"/>
          </rPr>
          <t xml:space="preserve">
Interest Expense / (Benefit) </t>
        </r>
        <r>
          <rPr>
            <sz val="8"/>
            <color indexed="81"/>
            <rFont val="Tahoma"/>
            <family val="2"/>
          </rPr>
          <t>on</t>
        </r>
        <r>
          <rPr>
            <b/>
            <sz val="8"/>
            <color indexed="81"/>
            <rFont val="Tahoma"/>
            <family val="2"/>
          </rPr>
          <t xml:space="preserve"> P&amp;L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7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 xml:space="preserve">
= Days Receivable (Ratios toggle) * Revenue (P&amp;L) / 365
</t>
        </r>
      </text>
    </comment>
    <comment ref="B8" authorId="0" shapeId="0" xr:uid="{00000000-0006-0000-0A00-000002000000}">
      <text>
        <r>
          <rPr>
            <b/>
            <sz val="8"/>
            <color indexed="81"/>
            <rFont val="Tahoma"/>
            <family val="2"/>
          </rPr>
          <t xml:space="preserve">
= COGS (P&amp;L) / Inventory Turns (Ratios toggle)</t>
        </r>
      </text>
    </comment>
    <comment ref="B21" authorId="0" shapeId="0" xr:uid="{00000000-0006-0000-0A00-000003000000}">
      <text>
        <r>
          <rPr>
            <b/>
            <sz val="8"/>
            <color indexed="81"/>
            <rFont val="Tahoma"/>
            <family val="2"/>
          </rPr>
          <t xml:space="preserve">
= Days Payable (Ratios toggle) * COGS (P&amp;L) / 365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7" authorId="0" shapeId="0" xr:uid="{00000000-0006-0000-0E00-000001000000}">
      <text>
        <r>
          <rPr>
            <b/>
            <sz val="8"/>
            <color indexed="81"/>
            <rFont val="Tahoma"/>
            <family val="2"/>
          </rPr>
          <t xml:space="preserve">
= Days Receivable (Ratios toggle) * Revenue (P&amp;L) / 365
</t>
        </r>
      </text>
    </comment>
    <comment ref="B8" authorId="0" shapeId="0" xr:uid="{00000000-0006-0000-0E00-000002000000}">
      <text>
        <r>
          <rPr>
            <b/>
            <sz val="8"/>
            <color indexed="81"/>
            <rFont val="Tahoma"/>
            <family val="2"/>
          </rPr>
          <t xml:space="preserve">
= COGS (P&amp;L) / Inventory Turns (Ratios toggle)</t>
        </r>
      </text>
    </comment>
    <comment ref="B21" authorId="0" shapeId="0" xr:uid="{00000000-0006-0000-0E00-000003000000}">
      <text>
        <r>
          <rPr>
            <b/>
            <sz val="8"/>
            <color indexed="81"/>
            <rFont val="Tahoma"/>
            <family val="2"/>
          </rPr>
          <t xml:space="preserve">
= Days Payable (Ratios toggle) * COGS (P&amp;L) / 365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Beber</author>
  </authors>
  <commentList>
    <comment ref="B7" authorId="0" shapeId="0" xr:uid="{00000000-0006-0000-1100-000001000000}">
      <text>
        <r>
          <rPr>
            <b/>
            <sz val="8"/>
            <color indexed="81"/>
            <rFont val="Tahoma"/>
            <family val="2"/>
          </rPr>
          <t xml:space="preserve">
= Days Receivable (Ratios toggle) * Revenue (P&amp;L) / 365
</t>
        </r>
      </text>
    </comment>
    <comment ref="B8" authorId="0" shapeId="0" xr:uid="{00000000-0006-0000-1100-000002000000}">
      <text>
        <r>
          <rPr>
            <b/>
            <sz val="8"/>
            <color indexed="81"/>
            <rFont val="Tahoma"/>
            <family val="2"/>
          </rPr>
          <t xml:space="preserve">
= COGS (P&amp;L) / Inventory Turns (Ratios toggle)</t>
        </r>
      </text>
    </comment>
    <comment ref="B21" authorId="0" shapeId="0" xr:uid="{00000000-0006-0000-1100-000003000000}">
      <text>
        <r>
          <rPr>
            <b/>
            <sz val="8"/>
            <color indexed="81"/>
            <rFont val="Tahoma"/>
            <family val="2"/>
          </rPr>
          <t xml:space="preserve">
= Days Payable (Ratios toggle) * COGS (P&amp;L) / 365
</t>
        </r>
      </text>
    </comment>
  </commentList>
</comments>
</file>

<file path=xl/sharedStrings.xml><?xml version="1.0" encoding="utf-8"?>
<sst xmlns="http://schemas.openxmlformats.org/spreadsheetml/2006/main" count="1724" uniqueCount="629">
  <si>
    <t>Historical &amp; Projected P&amp;L ($000's)</t>
  </si>
  <si>
    <t>chk</t>
  </si>
  <si>
    <t>Revenue</t>
  </si>
  <si>
    <t>Cost of revenues</t>
  </si>
  <si>
    <t>Gross margin $</t>
  </si>
  <si>
    <t>Gross margin %</t>
  </si>
  <si>
    <t>Operating expense (G&amp;A)</t>
  </si>
  <si>
    <t>Interest expense/(benefit)</t>
  </si>
  <si>
    <t>Impairment &amp; special charges</t>
  </si>
  <si>
    <t>Earnings before taxes</t>
  </si>
  <si>
    <t>Income taxes</t>
  </si>
  <si>
    <t>Earnings before unconsol. affil.</t>
  </si>
  <si>
    <t>Earnings from unconsol. affil.</t>
  </si>
  <si>
    <t>Net earnings</t>
  </si>
  <si>
    <t>Earnings attrib to non-contr ints</t>
  </si>
  <si>
    <t>Dep'n &amp; amort.</t>
  </si>
  <si>
    <t>EBITDA</t>
  </si>
  <si>
    <t>EBIT</t>
  </si>
  <si>
    <t>NOPAT</t>
  </si>
  <si>
    <t>Capital expense (net)</t>
  </si>
  <si>
    <t>Working capital delta</t>
  </si>
  <si>
    <t>Free cash flow</t>
  </si>
  <si>
    <t>WACC</t>
  </si>
  <si>
    <t>Valuation</t>
  </si>
  <si>
    <t>Deliveries</t>
  </si>
  <si>
    <t>Historical &amp; Projected Balance Sheet ($000's)</t>
  </si>
  <si>
    <t>ASSETS</t>
  </si>
  <si>
    <t>Cash &amp; cash equivalents</t>
  </si>
  <si>
    <t>Restricted cash</t>
  </si>
  <si>
    <t>Inventory</t>
  </si>
  <si>
    <t>Assets held for sale</t>
  </si>
  <si>
    <t>Invest. in direct finance leases</t>
  </si>
  <si>
    <t>Equipment on operating leases</t>
  </si>
  <si>
    <t>Plant &amp; equipment</t>
  </si>
  <si>
    <t>Accumulated depreciation</t>
  </si>
  <si>
    <t>Net P&amp;E</t>
  </si>
  <si>
    <t>Goodwill</t>
  </si>
  <si>
    <t>TOTAL ASSETS</t>
  </si>
  <si>
    <t>LIABILITIES</t>
  </si>
  <si>
    <t>Revolving notes</t>
  </si>
  <si>
    <t>Losses in ex. of inv. of de-con sub</t>
  </si>
  <si>
    <t>Deferred revenue</t>
  </si>
  <si>
    <t>Deferred income taxes</t>
  </si>
  <si>
    <t>Notes payable</t>
  </si>
  <si>
    <t>Other liabilities</t>
  </si>
  <si>
    <t>TOTAL LIABILITIES</t>
  </si>
  <si>
    <t>EQUITY</t>
  </si>
  <si>
    <t>Preferred stock</t>
  </si>
  <si>
    <t>Common stock</t>
  </si>
  <si>
    <t>Additional paid-in capital</t>
  </si>
  <si>
    <t>Retained earnings</t>
  </si>
  <si>
    <t>Accum. other comprehensive loss</t>
  </si>
  <si>
    <t xml:space="preserve">Noncontrolling interest </t>
  </si>
  <si>
    <t>TOTAL EQUITY</t>
  </si>
  <si>
    <t>TOTAL LIABILITIES + EQUITY</t>
  </si>
  <si>
    <t>Check</t>
  </si>
  <si>
    <t>OPERATING ACTIVITIES</t>
  </si>
  <si>
    <t>Net Earnings</t>
  </si>
  <si>
    <t>Depreciation &amp; amortization</t>
  </si>
  <si>
    <t>(Gain)/Loss on sale of equipment</t>
  </si>
  <si>
    <t>Other operating items</t>
  </si>
  <si>
    <t>Change in Assets:</t>
  </si>
  <si>
    <t>Inventories</t>
  </si>
  <si>
    <t>Change in Liabilities</t>
  </si>
  <si>
    <t>NET CASH +/(-) OPERATING ACTIVITIES</t>
  </si>
  <si>
    <t>INVESTING ACTIVITIES</t>
  </si>
  <si>
    <t>Use of (investment in) restricted cash</t>
  </si>
  <si>
    <t>Proceeds from sale of equipment</t>
  </si>
  <si>
    <t>Investment in and advances to unconsol sub.</t>
  </si>
  <si>
    <t>Acquisition</t>
  </si>
  <si>
    <t>Other investing items</t>
  </si>
  <si>
    <t>Capital expenditures</t>
  </si>
  <si>
    <t>NET CASH +/(-) INVESTING ACTIVITIES</t>
  </si>
  <si>
    <t>FINANCING ACTIVITIES</t>
  </si>
  <si>
    <t>Change in Revolver</t>
  </si>
  <si>
    <t xml:space="preserve">Proceeds (Repayment) of borrowings </t>
  </si>
  <si>
    <t>Repayment of Subdebt</t>
  </si>
  <si>
    <t>Dividends</t>
  </si>
  <si>
    <t>Investment by joint venture partner</t>
  </si>
  <si>
    <t>Stock options &amp; restr. stock awds exercised</t>
  </si>
  <si>
    <t>Equity Re-purchase/Retirement</t>
  </si>
  <si>
    <t>Equity Issuance Proceeds</t>
  </si>
  <si>
    <t>Excess Tax Benefit of stock options exercised</t>
  </si>
  <si>
    <t>Other financing items</t>
  </si>
  <si>
    <t>NET CASH +/(-) FINANCING ACTIVITIES</t>
  </si>
  <si>
    <t>Effect of exchange rate changes</t>
  </si>
  <si>
    <t>INCREASE (DECREASE) IN CASH &amp; EQUIV.</t>
  </si>
  <si>
    <t>Cash &amp; Equivalents at Beginning of Period</t>
  </si>
  <si>
    <t>CASH &amp; EQUIVALENTS AT END OF PERIOD</t>
  </si>
  <si>
    <t>Fiscal Years:</t>
  </si>
  <si>
    <t>Quarters, FY2013</t>
  </si>
  <si>
    <t>Discounting Factors</t>
  </si>
  <si>
    <t>FCF</t>
  </si>
  <si>
    <t>Rev</t>
  </si>
  <si>
    <t>Fully-diluted shares outst (000)</t>
  </si>
  <si>
    <t>F/D 2012 earnings per share</t>
  </si>
  <si>
    <t>COR</t>
  </si>
  <si>
    <t>Intangibles &amp; Other Assets</t>
  </si>
  <si>
    <t>Accounts receivable</t>
  </si>
  <si>
    <t>Historical &amp; Projected Statement of Cash Flows ($000's)</t>
  </si>
  <si>
    <t>Capital expenditures (maintenance)</t>
  </si>
  <si>
    <t>Capital expenditures (growth)</t>
  </si>
  <si>
    <t>NOTES PAYABLE</t>
  </si>
  <si>
    <t>Historical &amp; Projected Debt Schedule ($000's)</t>
  </si>
  <si>
    <t>Total Proceeds &amp; Repayments</t>
  </si>
  <si>
    <t>Interest Expense</t>
  </si>
  <si>
    <t>Total Interest Expense</t>
  </si>
  <si>
    <t>Net Working Capital</t>
  </si>
  <si>
    <t>Principal Balance</t>
  </si>
  <si>
    <t>Total Principal Balance</t>
  </si>
  <si>
    <t>Historical &amp; Projected Ratios &amp; Analysis</t>
  </si>
  <si>
    <t>INCOME STATEMENT</t>
  </si>
  <si>
    <t>BALANCE SHEET</t>
  </si>
  <si>
    <t>Current Assets</t>
  </si>
  <si>
    <t>Current Liabilities</t>
  </si>
  <si>
    <t>RATIOS</t>
  </si>
  <si>
    <t>Profitability Ratios</t>
  </si>
  <si>
    <t>Gross Margin</t>
  </si>
  <si>
    <t>EBITDA Margin</t>
  </si>
  <si>
    <t>Return on Equity (ROE)</t>
  </si>
  <si>
    <t>Ret. on Invested Capital (ROIC)</t>
  </si>
  <si>
    <t>Cash ROIC</t>
  </si>
  <si>
    <t>Turnover / Efficiency Ratios</t>
  </si>
  <si>
    <t>Asset Turnover</t>
  </si>
  <si>
    <t>A/P and other accrued</t>
  </si>
  <si>
    <t>Leverage Ratios</t>
  </si>
  <si>
    <t>Liquidity Ratios</t>
  </si>
  <si>
    <t>Current Ratio</t>
  </si>
  <si>
    <t>Quick Ratio</t>
  </si>
  <si>
    <t>Times Interest Earned</t>
  </si>
  <si>
    <t>Debt-to-EBITDA</t>
  </si>
  <si>
    <t>Net Debt-to-EBITDA</t>
  </si>
  <si>
    <t>EBITDA-to-Interest Expense</t>
  </si>
  <si>
    <t>Debt / Equity</t>
  </si>
  <si>
    <t>Net Debt / Equity</t>
  </si>
  <si>
    <t>Debt / Total Capitalization</t>
  </si>
  <si>
    <t>Net Debt / Total Capitalization</t>
  </si>
  <si>
    <t>LEVERAGE ANALYSIS</t>
  </si>
  <si>
    <t>COGS</t>
  </si>
  <si>
    <t>OpEx</t>
  </si>
  <si>
    <t>Interest</t>
  </si>
  <si>
    <t>Taxes</t>
  </si>
  <si>
    <t>3rd parties</t>
  </si>
  <si>
    <t>Earnings</t>
  </si>
  <si>
    <t>Earnings fr unconsol+noncntrl</t>
  </si>
  <si>
    <t>Impairmt</t>
  </si>
  <si>
    <t>Delta</t>
  </si>
  <si>
    <t>Leverage</t>
  </si>
  <si>
    <r>
      <rPr>
        <b/>
        <sz val="11"/>
        <rFont val="Calibri"/>
        <family val="2"/>
        <scheme val="minor"/>
      </rPr>
      <t xml:space="preserve">Financial:  </t>
    </r>
    <r>
      <rPr>
        <sz val="11"/>
        <rFont val="Calibri"/>
        <family val="2"/>
        <scheme val="minor"/>
      </rPr>
      <t xml:space="preserve"> ∆Earnings / ∆EBIT </t>
    </r>
  </si>
  <si>
    <r>
      <rPr>
        <b/>
        <sz val="11"/>
        <rFont val="Calibri"/>
        <family val="2"/>
        <scheme val="minor"/>
      </rPr>
      <t>Combined:</t>
    </r>
    <r>
      <rPr>
        <sz val="11"/>
        <rFont val="Calibri"/>
        <family val="2"/>
        <scheme val="minor"/>
      </rPr>
      <t xml:space="preserve">   ∆Earnings / ∆Sales</t>
    </r>
  </si>
  <si>
    <t>Long-Term Debt / Equity</t>
  </si>
  <si>
    <t>Click        's for individual BU's</t>
  </si>
  <si>
    <t>Click       's  below to unhide:</t>
  </si>
  <si>
    <t>←</t>
  </si>
  <si>
    <t>Sales+10%</t>
  </si>
  <si>
    <t>ECONOMIC PROFIT ANALYSIS</t>
  </si>
  <si>
    <t>Total operating capital</t>
  </si>
  <si>
    <t>After-tax cost of capital</t>
  </si>
  <si>
    <t>Dollar cost of capital</t>
  </si>
  <si>
    <t>Economic profit</t>
  </si>
  <si>
    <t>Net operating profit after-tax</t>
  </si>
  <si>
    <t>Z-SCORE FOR FINANCIAL DISTRESS</t>
  </si>
  <si>
    <t>* EBIT / Assets</t>
  </si>
  <si>
    <t>* Sales / Assets</t>
  </si>
  <si>
    <t>* Net Working Cap'l / Assets</t>
  </si>
  <si>
    <t>* Retained Earnings / Assets</t>
  </si>
  <si>
    <t>* MV Equity / BV of Liabilities</t>
  </si>
  <si>
    <t>Where Z is the sum of:</t>
  </si>
  <si>
    <t>If no changes to the status-quo:</t>
  </si>
  <si>
    <t>MV Equity:</t>
  </si>
  <si>
    <t>TOTAL INTEREST EXPENSE</t>
  </si>
  <si>
    <t>Ending (outstanding) Balance</t>
  </si>
  <si>
    <t>check against P&amp;L</t>
  </si>
  <si>
    <t>check against Balance Sheet</t>
  </si>
  <si>
    <t>check against Cash Flows</t>
  </si>
  <si>
    <r>
      <t xml:space="preserve">&lt;Z&lt; … </t>
    </r>
    <r>
      <rPr>
        <b/>
        <sz val="11"/>
        <color rgb="FF0000FF"/>
        <rFont val="Calibri"/>
        <family val="2"/>
        <scheme val="minor"/>
      </rPr>
      <t>Potential Distress</t>
    </r>
  </si>
  <si>
    <r>
      <t xml:space="preserve">&lt;Z ...  </t>
    </r>
    <r>
      <rPr>
        <b/>
        <sz val="11"/>
        <color rgb="FF0000FF"/>
        <rFont val="Calibri"/>
        <family val="2"/>
        <scheme val="minor"/>
      </rPr>
      <t>No Distress</t>
    </r>
  </si>
  <si>
    <r>
      <t xml:space="preserve">&gt;Z ...   </t>
    </r>
    <r>
      <rPr>
        <b/>
        <sz val="11"/>
        <color rgb="FF0000FF"/>
        <rFont val="Calibri"/>
        <family val="2"/>
        <scheme val="minor"/>
      </rPr>
      <t>Risk of Isolvency</t>
    </r>
  </si>
  <si>
    <r>
      <rPr>
        <b/>
        <sz val="11"/>
        <rFont val="Calibri"/>
        <family val="2"/>
        <scheme val="minor"/>
      </rPr>
      <t>Operating:</t>
    </r>
    <r>
      <rPr>
        <sz val="11"/>
        <rFont val="Calibri"/>
        <family val="2"/>
        <scheme val="minor"/>
      </rPr>
      <t xml:space="preserve">   ∆EBIT / ∆Sales</t>
    </r>
  </si>
  <si>
    <t>Facility</t>
  </si>
  <si>
    <t>Other #1</t>
  </si>
  <si>
    <t>Other #2</t>
  </si>
  <si>
    <t>Other #3</t>
  </si>
  <si>
    <t>Inflation:</t>
  </si>
  <si>
    <t>Gross Margin %</t>
  </si>
  <si>
    <t>Capital Expenditures</t>
  </si>
  <si>
    <t>Growth</t>
  </si>
  <si>
    <t>Maintenance</t>
  </si>
  <si>
    <t>Total Capital Expenditures</t>
  </si>
  <si>
    <t>Total Revenue</t>
  </si>
  <si>
    <t>Cost of Revenues</t>
  </si>
  <si>
    <r>
      <t xml:space="preserve">Overhead </t>
    </r>
    <r>
      <rPr>
        <sz val="11"/>
        <color rgb="FFC00000"/>
        <rFont val="Calibri"/>
        <family val="2"/>
        <scheme val="minor"/>
      </rPr>
      <t>(Under)</t>
    </r>
    <r>
      <rPr>
        <sz val="11"/>
        <color theme="1"/>
        <rFont val="Calibri"/>
        <family val="2"/>
        <scheme val="minor"/>
      </rPr>
      <t>/Over Absorbed</t>
    </r>
  </si>
  <si>
    <t>Total Cost of Revenues</t>
  </si>
  <si>
    <t>Gross Margin $</t>
  </si>
  <si>
    <t>P&amp;L</t>
  </si>
  <si>
    <t>Operating expense (SG&amp;A)</t>
  </si>
  <si>
    <t>Total operating expense</t>
  </si>
  <si>
    <t>Net (pretax) earnings</t>
  </si>
  <si>
    <t>Total Taxes</t>
  </si>
  <si>
    <t>After-tax Profit</t>
  </si>
  <si>
    <t>Total Pretax Earnings</t>
  </si>
  <si>
    <t>Earnings to Minority Interest</t>
  </si>
  <si>
    <t>Business Drivers (totals in 000's)</t>
  </si>
  <si>
    <t>OH Variance %</t>
  </si>
  <si>
    <t>OH Variance $</t>
  </si>
  <si>
    <t>Partner Mgmt Fee %</t>
  </si>
  <si>
    <t>Tax Rate</t>
  </si>
  <si>
    <t>Production by Type</t>
  </si>
  <si>
    <t>Product 1</t>
  </si>
  <si>
    <t>Product 2</t>
  </si>
  <si>
    <t>Product 3</t>
  </si>
  <si>
    <t>Exchange Rate</t>
  </si>
  <si>
    <t>Avg Sales Price (PLN)</t>
  </si>
  <si>
    <t>Revenue (USD)</t>
  </si>
  <si>
    <t>Cost of Revenues (USD)</t>
  </si>
  <si>
    <t>OpEx (SG&amp;A</t>
  </si>
  <si>
    <t>Total OpEx</t>
  </si>
  <si>
    <t>Discounted Cash Flow model:</t>
  </si>
  <si>
    <t>Enterprise Value - Debt + Cash</t>
  </si>
  <si>
    <t>option-like characteristics (e.g. biotech patent)</t>
  </si>
  <si>
    <t>Market Comparables model:</t>
  </si>
  <si>
    <t>Equity Value</t>
  </si>
  <si>
    <t>Equity Value is equal to:</t>
  </si>
  <si>
    <r>
      <t>• Determine market Over/</t>
    </r>
    <r>
      <rPr>
        <sz val="12"/>
        <color rgb="FFFF0000"/>
        <rFont val="Times New Roman"/>
        <family val="1"/>
      </rPr>
      <t>Under</t>
    </r>
    <r>
      <rPr>
        <sz val="12"/>
        <color theme="1"/>
        <rFont val="Times New Roman"/>
        <family val="1"/>
      </rPr>
      <t xml:space="preserve"> Valuation</t>
    </r>
  </si>
  <si>
    <t>• Basis of comparison for both Valuations</t>
  </si>
  <si>
    <t>Market Capitalization</t>
  </si>
  <si>
    <t>• Bad for long-term options on non-traded assets</t>
  </si>
  <si>
    <t>Management estimates</t>
  </si>
  <si>
    <t>Contingent claim models</t>
  </si>
  <si>
    <t>hence…</t>
  </si>
  <si>
    <t>Using regression of implied premium on T.Bond rate</t>
  </si>
  <si>
    <t>argument does not hold up</t>
  </si>
  <si>
    <t>react to, and learn from real-time data</t>
  </si>
  <si>
    <t>are valued like options</t>
  </si>
  <si>
    <t>Company financials,</t>
  </si>
  <si>
    <t>Economic Value Added</t>
  </si>
  <si>
    <t>Yahoo! Finance:</t>
  </si>
  <si>
    <t>Cash</t>
  </si>
  <si>
    <t>Average Implied premium</t>
  </si>
  <si>
    <t>• Can easily lead to overvaluation when options</t>
  </si>
  <si>
    <t>• Allow for management to quickly assimilate,</t>
  </si>
  <si>
    <t>Option models</t>
  </si>
  <si>
    <t>Companies whose assets</t>
  </si>
  <si>
    <t>WSJ, Yahoo! Finance</t>
  </si>
  <si>
    <t>Various</t>
  </si>
  <si>
    <t>Option pricing models</t>
  </si>
  <si>
    <t>Other</t>
  </si>
  <si>
    <t>-  Cash</t>
  </si>
  <si>
    <t>+ Value of Debt</t>
  </si>
  <si>
    <t>Discounted Cash Flow Valuation:</t>
  </si>
  <si>
    <t>+ Value of Equity</t>
  </si>
  <si>
    <t xml:space="preserve">Historical - US </t>
  </si>
  <si>
    <t>• May leave money on the table in short sales</t>
  </si>
  <si>
    <t>• Easy to support with data</t>
  </si>
  <si>
    <t>Market Comp Enterprise Value:</t>
  </si>
  <si>
    <t>Enterprise Value</t>
  </si>
  <si>
    <t>Enterprise Value is equal to:</t>
  </si>
  <si>
    <t>Survey: Global Fund Managers</t>
  </si>
  <si>
    <t>• Whole may be more valuable than sum of parts</t>
  </si>
  <si>
    <t>• Easy to relate to</t>
  </si>
  <si>
    <t>Acquisition value</t>
  </si>
  <si>
    <t>Sum of parts &gt; whole</t>
  </si>
  <si>
    <t>Historical transactions</t>
  </si>
  <si>
    <t>individual assets</t>
  </si>
  <si>
    <t>… The termianl growth rate cannot exceed the growth rate of the economy as a whole</t>
  </si>
  <si>
    <t>Survey: CFOs</t>
  </si>
  <si>
    <t>• Does not account for growth, strategy, change</t>
  </si>
  <si>
    <t>• Accurate in short term</t>
  </si>
  <si>
    <t>Liquidation value,</t>
  </si>
  <si>
    <t>Companies in distress</t>
  </si>
  <si>
    <t>Auctions, Indexes,</t>
  </si>
  <si>
    <t xml:space="preserve">Market prices of </t>
  </si>
  <si>
    <t xml:space="preserve">Ʃ </t>
  </si>
  <si>
    <t>Asset</t>
  </si>
  <si>
    <t>The higher the terminal growth rate, the higher perpetuity component will be.  However…</t>
  </si>
  <si>
    <t xml:space="preserve">ERP </t>
  </si>
  <si>
    <t>Corporate Overhead</t>
  </si>
  <si>
    <t>Weighted Avg. Multiple:</t>
  </si>
  <si>
    <t>end-product Valuation</t>
  </si>
  <si>
    <t>Given constant cash flows, the further out the period, the less its cash flow contributes to V</t>
  </si>
  <si>
    <t>• EV/EBITDA multiples of peer groups to apply</t>
  </si>
  <si>
    <t>• Includes market sentiment as component of</t>
  </si>
  <si>
    <t>• Easy to manipulate and misuse</t>
  </si>
  <si>
    <t>• Market has final say in what something's worth</t>
  </si>
  <si>
    <t>company in peer groups</t>
  </si>
  <si>
    <t>by using different peer groups for each B.U.</t>
  </si>
  <si>
    <t>• Easily to obtain; "quick &amp; dirty"</t>
  </si>
  <si>
    <t>comparable peer group</t>
  </si>
  <si>
    <t>Individual business units</t>
  </si>
  <si>
    <t>and Company financials</t>
  </si>
  <si>
    <r>
      <rPr>
        <sz val="12"/>
        <color theme="1"/>
        <rFont val="Calibri"/>
        <family val="2"/>
        <scheme val="minor"/>
      </rPr>
      <t xml:space="preserve">x </t>
    </r>
    <r>
      <rPr>
        <sz val="12"/>
        <color theme="1"/>
        <rFont val="Times New Roman"/>
        <family val="1"/>
      </rPr>
      <t xml:space="preserve">  Company Earnings</t>
    </r>
  </si>
  <si>
    <t>comparable "peer group"</t>
  </si>
  <si>
    <t>The higher a company's cost of capital, the lower the present value of a period's cash flows</t>
  </si>
  <si>
    <t>• Market cap, debt, cash, and EBITDA of each</t>
  </si>
  <si>
    <t>• Greater accuracy than typical P/E approach</t>
  </si>
  <si>
    <t>• Precise comparables rarely exist</t>
  </si>
  <si>
    <t>• In reality, the most commonly-used method</t>
  </si>
  <si>
    <t>Earnings multiple of</t>
  </si>
  <si>
    <t>Privately-held cos.</t>
  </si>
  <si>
    <t>Average of peers' P/E ratios</t>
  </si>
  <si>
    <t>Factors that affect V:</t>
  </si>
  <si>
    <t>• Peer groups for each Business Unit</t>
  </si>
  <si>
    <t>• Provides powerful check on DCF method</t>
  </si>
  <si>
    <t>Market Capitalization ($ mil)</t>
  </si>
  <si>
    <t>Average annual cost</t>
  </si>
  <si>
    <t>Shares Outstanding (mil)</t>
  </si>
  <si>
    <t>t=0</t>
  </si>
  <si>
    <t>• Trading can be emotional, momentum-based</t>
  </si>
  <si>
    <t>• Requires fewer assumptions</t>
  </si>
  <si>
    <t>Share Price</t>
  </si>
  <si>
    <t>(1+WACC) ^ n+1</t>
  </si>
  <si>
    <t>(1+WACC) ^ t</t>
  </si>
  <si>
    <t>• Estimates of Beta and Costs of Capital</t>
  </si>
  <si>
    <t>• Markets can be inefficient and slow to equalize</t>
  </si>
  <si>
    <t># Shares outstanding</t>
  </si>
  <si>
    <t>CF / (WACC-g)</t>
  </si>
  <si>
    <t>+</t>
  </si>
  <si>
    <t>…</t>
  </si>
  <si>
    <t>CF in period t</t>
  </si>
  <si>
    <t>V =</t>
  </si>
  <si>
    <t>3 yr avg</t>
  </si>
  <si>
    <t>2013 (F)</t>
  </si>
  <si>
    <t>$ million:</t>
  </si>
  <si>
    <t xml:space="preserve">• A single corporate-wide Debt Schedule </t>
  </si>
  <si>
    <t>of company input, output, and dynamics</t>
  </si>
  <si>
    <t>• Does not capture true intrinsic value</t>
  </si>
  <si>
    <t>Market capitalization</t>
  </si>
  <si>
    <t>Public companies</t>
  </si>
  <si>
    <r>
      <t xml:space="preserve">$ Share Price  </t>
    </r>
    <r>
      <rPr>
        <sz val="12"/>
        <color theme="1"/>
        <rFont val="Calibri"/>
        <family val="2"/>
        <scheme val="minor"/>
      </rPr>
      <t xml:space="preserve"> x</t>
    </r>
  </si>
  <si>
    <t>Market</t>
  </si>
  <si>
    <t>Discounted Cash Flow model</t>
  </si>
  <si>
    <t>n</t>
  </si>
  <si>
    <t>Total</t>
  </si>
  <si>
    <t>• Terminal year values and terminal growth %</t>
  </si>
  <si>
    <t>• Availability of data and deep understanding</t>
  </si>
  <si>
    <t>Market Comparables model</t>
  </si>
  <si>
    <t>FY 2013-2017</t>
  </si>
  <si>
    <t>corporate overhead unit, and an additive rollup</t>
  </si>
  <si>
    <t>A terminal year (n+1) and a cash flow growth rate (g) are chosen, to represent the company's cash flow in perpetuity</t>
  </si>
  <si>
    <t>Market Value of Equity</t>
  </si>
  <si>
    <t>• Business drivers to generate forecasts for</t>
  </si>
  <si>
    <t>separate valuations of 5 business units, a</t>
  </si>
  <si>
    <t>• Requires many estimates (WACC, beta, sales)</t>
  </si>
  <si>
    <t>• Fundamentals-driven</t>
  </si>
  <si>
    <t>Cost</t>
  </si>
  <si>
    <t>Pct.</t>
  </si>
  <si>
    <t>• Historical "Actuals" data from FY 2008-2012</t>
  </si>
  <si>
    <t>• Ideal for "sum of the parts" valuation involving</t>
  </si>
  <si>
    <t>• Requires deep understanding of company</t>
  </si>
  <si>
    <t>• Entails deep understanding of company</t>
  </si>
  <si>
    <t>or estimable growth</t>
  </si>
  <si>
    <t>(1+WACC) ^ Period</t>
  </si>
  <si>
    <t>Discounted Cash Flow</t>
  </si>
  <si>
    <t>Market Comparables</t>
  </si>
  <si>
    <t>Cash flows are 'discounted' by the company's Weighted Average Cost of Capital (WACC) each year (t) out they occur</t>
  </si>
  <si>
    <t>Weighted Average Cost of Capital</t>
  </si>
  <si>
    <t>Business Units plus Corporate Overhead unit</t>
  </si>
  <si>
    <t>and estimability of future sales &amp; earnings</t>
  </si>
  <si>
    <t>• Can be long and arduous to calculate</t>
  </si>
  <si>
    <t>• Takes growth and change into account</t>
  </si>
  <si>
    <t>Companies with stable</t>
  </si>
  <si>
    <t xml:space="preserve">Period cash flows </t>
  </si>
  <si>
    <t>Income</t>
  </si>
  <si>
    <r>
      <t>2012</t>
    </r>
    <r>
      <rPr>
        <u/>
        <sz val="12"/>
        <color rgb="FFFF0000"/>
        <rFont val="Times New Roman"/>
        <family val="1"/>
      </rPr>
      <t>*</t>
    </r>
  </si>
  <si>
    <t>Business Unit</t>
  </si>
  <si>
    <t>Risk Free Rate</t>
  </si>
  <si>
    <t>• Income Statements and Balance Sheets of all</t>
  </si>
  <si>
    <t>• Ignores market moods and perceptions</t>
  </si>
  <si>
    <t>• Most theoretically correct</t>
  </si>
  <si>
    <t>In a DCF valuation, a company's value (V) is deemed to be the present value of all future cash flows (CF)</t>
  </si>
  <si>
    <t>Requirements</t>
  </si>
  <si>
    <t>Rationale</t>
  </si>
  <si>
    <t>Methodology</t>
  </si>
  <si>
    <t>Drawbacks</t>
  </si>
  <si>
    <t>Advantages</t>
  </si>
  <si>
    <t>Used Primarily By:</t>
  </si>
  <si>
    <t>Data Sources:</t>
  </si>
  <si>
    <t>Formula:</t>
  </si>
  <si>
    <t>Approach</t>
  </si>
  <si>
    <t>Ent Val</t>
  </si>
  <si>
    <t>EV/EBITDA</t>
  </si>
  <si>
    <r>
      <t>EBITDA</t>
    </r>
    <r>
      <rPr>
        <sz val="8"/>
        <color theme="1"/>
        <rFont val="Calibri"/>
        <family val="2"/>
        <scheme val="minor"/>
      </rPr>
      <t xml:space="preserve"> (ttm)</t>
    </r>
  </si>
  <si>
    <r>
      <t>Ent Val</t>
    </r>
    <r>
      <rPr>
        <sz val="11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>($ mil)</t>
    </r>
  </si>
  <si>
    <t>Cost of Equity (using CAPM)</t>
  </si>
  <si>
    <t>By Business Unit</t>
  </si>
  <si>
    <t>Apply multiple in $ mil…</t>
  </si>
  <si>
    <t>Multiple Calculation</t>
  </si>
  <si>
    <t>sym</t>
  </si>
  <si>
    <t>Public Comparable</t>
  </si>
  <si>
    <t>Which is most appropriate?</t>
  </si>
  <si>
    <t>Conclusion</t>
  </si>
  <si>
    <t>Discounted Cash Flow Valuation</t>
  </si>
  <si>
    <t>Comparison of Methodologies</t>
  </si>
  <si>
    <t>Valuation Approaches</t>
  </si>
  <si>
    <t>ttm</t>
  </si>
  <si>
    <t>million</t>
  </si>
  <si>
    <t>Levered FCF</t>
  </si>
  <si>
    <t>Oper. CF</t>
  </si>
  <si>
    <t>Total Debt</t>
  </si>
  <si>
    <t>Total Cash</t>
  </si>
  <si>
    <t>Diluted EPS</t>
  </si>
  <si>
    <t>N.I. to Common</t>
  </si>
  <si>
    <t>ROE</t>
  </si>
  <si>
    <t>ROA</t>
  </si>
  <si>
    <t>Beta:</t>
  </si>
  <si>
    <t>EV /EBITDA</t>
  </si>
  <si>
    <t>Price /Sales</t>
  </si>
  <si>
    <t xml:space="preserve">Fwd P/E </t>
  </si>
  <si>
    <t>Trailing P/E</t>
  </si>
  <si>
    <t>EV</t>
  </si>
  <si>
    <t>Market Cap</t>
  </si>
  <si>
    <t>Ticker</t>
  </si>
  <si>
    <t>Name</t>
  </si>
  <si>
    <t>Cash Flow St.</t>
  </si>
  <si>
    <t>Balance Sheet</t>
  </si>
  <si>
    <t>Income Statement</t>
  </si>
  <si>
    <t>Return</t>
  </si>
  <si>
    <t>2014 (F)</t>
  </si>
  <si>
    <t>2015 (F)</t>
  </si>
  <si>
    <t>Business Unit Operating Leverage</t>
  </si>
  <si>
    <t>Selected Approach</t>
  </si>
  <si>
    <t>Two methodologies chosen:</t>
  </si>
  <si>
    <t>Overall</t>
  </si>
  <si>
    <t>($ mil)</t>
  </si>
  <si>
    <t>Dollars</t>
  </si>
  <si>
    <t>per share</t>
  </si>
  <si>
    <t>Discounted FCF</t>
  </si>
  <si>
    <t>Terminal Stage2 Growth %</t>
  </si>
  <si>
    <t>Terminal Stage1 Growth %</t>
  </si>
  <si>
    <t>Terminal Stage1 # Yrs beyond 2017</t>
  </si>
  <si>
    <t>Term'l Per.</t>
  </si>
  <si>
    <t>Perp. DCF</t>
  </si>
  <si>
    <t>Forecasted</t>
  </si>
  <si>
    <t>Valuation (Discounted FCF)</t>
  </si>
  <si>
    <t>Term Stg. 1</t>
  </si>
  <si>
    <t>Term. Stg. 2</t>
  </si>
  <si>
    <t>Discounted Cash Flows ($ mil):</t>
  </si>
  <si>
    <t>Terminal Years</t>
  </si>
  <si>
    <t>Forecasted Fiscal Years:</t>
  </si>
  <si>
    <t>Stage 1</t>
  </si>
  <si>
    <t>Stage 2</t>
  </si>
  <si>
    <r>
      <t>Debt</t>
    </r>
    <r>
      <rPr>
        <sz val="11"/>
        <color theme="1"/>
        <rFont val="Calibri"/>
        <family val="2"/>
        <scheme val="minor"/>
      </rPr>
      <t xml:space="preserve"> (3-yr avg)</t>
    </r>
  </si>
  <si>
    <r>
      <t>Business Unit contribution to Enterprise Value</t>
    </r>
    <r>
      <rPr>
        <u/>
        <sz val="12"/>
        <color theme="1"/>
        <rFont val="Times New Roman"/>
        <family val="1"/>
      </rPr>
      <t xml:space="preserve"> ($ mil)</t>
    </r>
  </si>
  <si>
    <t>Terminal Years:</t>
  </si>
  <si>
    <t>Note: Operating Leverage measures the effect on EBIT of a change in Revenue</t>
  </si>
  <si>
    <t>Note: Economic Profit measures the dollar amount returned in excess of the Required Return (per the Cost of Capital)</t>
  </si>
  <si>
    <t>Enterprise Value ($ mil):</t>
  </si>
  <si>
    <t>DCF</t>
  </si>
  <si>
    <t>Mkt Comps</t>
  </si>
  <si>
    <t>Return on Mkt Comp Valn</t>
  </si>
  <si>
    <t>Net Income</t>
  </si>
  <si>
    <t>Return on DCF Valn</t>
  </si>
  <si>
    <t>Free Cash Flow</t>
  </si>
  <si>
    <t>Summary of Findings (pt. 4)</t>
  </si>
  <si>
    <t>Summary of Findings (pt. 3)</t>
  </si>
  <si>
    <t>Summary of Findings (pt. 2)</t>
  </si>
  <si>
    <t>Summary of Findings (pt. 1)</t>
  </si>
  <si>
    <t>Business Unit return, 2012</t>
  </si>
  <si>
    <t>Note: Return on Enterprise Value (i.e. Return on Market Value) is an imperfect measure, since it lacks a hard baseline, such as invested capital</t>
  </si>
  <si>
    <t>Growth opportunities are already priced into market value, making RoEV somewhat subjective.  Nevertheless, it is useful for BU comparisons.</t>
  </si>
  <si>
    <t>Background</t>
  </si>
  <si>
    <t>Summary of Findings</t>
  </si>
  <si>
    <t>Four Approachs to measuring Market Value</t>
  </si>
  <si>
    <t>How to determine a company's Net Present Value</t>
  </si>
  <si>
    <t>Discounted Cash Flows</t>
  </si>
  <si>
    <t>Project: Valuation</t>
  </si>
  <si>
    <t>by Scott Beber</t>
  </si>
  <si>
    <t>Results &amp; Illustrations</t>
  </si>
  <si>
    <t>TABLE OF CONTENTS</t>
  </si>
  <si>
    <t>Four methods to calculate Market Value…………………………………...</t>
  </si>
  <si>
    <t>Which methodology is most appropriate?......................................................</t>
  </si>
  <si>
    <t>How to determine a company's NPV………………………………...…….</t>
  </si>
  <si>
    <t/>
  </si>
  <si>
    <t>Corp. Overhead</t>
  </si>
  <si>
    <r>
      <t xml:space="preserve">Periods out </t>
    </r>
    <r>
      <rPr>
        <sz val="8"/>
        <color theme="0" tint="-0.499984740745262"/>
        <rFont val="Times New Roman"/>
        <family val="1"/>
      </rPr>
      <t>►</t>
    </r>
  </si>
  <si>
    <t>1 to 10 yrs</t>
  </si>
  <si>
    <t>∞</t>
  </si>
  <si>
    <t>now thru 2017</t>
  </si>
  <si>
    <r>
      <rPr>
        <sz val="8"/>
        <rFont val="Times New Roman"/>
        <family val="1"/>
      </rPr>
      <t>now thru</t>
    </r>
    <r>
      <rPr>
        <b/>
        <sz val="8"/>
        <rFont val="Times New Roman"/>
        <family val="1"/>
      </rPr>
      <t xml:space="preserve"> </t>
    </r>
    <r>
      <rPr>
        <b/>
        <sz val="11"/>
        <rFont val="Times New Roman"/>
        <family val="1"/>
      </rPr>
      <t>∞</t>
    </r>
  </si>
  <si>
    <t>Impair/Spec &amp; (Gain) eqp. sales</t>
  </si>
  <si>
    <t>Operating Leverage………………………………………………………</t>
  </si>
  <si>
    <t>Operating Performance………………………………………………….</t>
  </si>
  <si>
    <t>Composition of Enterprise Values…………..………………………….</t>
  </si>
  <si>
    <t>REVOLVING NOTES</t>
  </si>
  <si>
    <r>
      <t xml:space="preserve">Draws / </t>
    </r>
    <r>
      <rPr>
        <b/>
        <sz val="11"/>
        <color rgb="FFFF0000"/>
        <rFont val="Calibri"/>
        <family val="2"/>
        <scheme val="minor"/>
      </rPr>
      <t>(Paybacks)</t>
    </r>
    <r>
      <rPr>
        <b/>
        <sz val="11"/>
        <color rgb="FF003300"/>
        <rFont val="Calibri"/>
        <family val="2"/>
        <scheme val="minor"/>
      </rPr>
      <t xml:space="preserve"> of Revolvers</t>
    </r>
  </si>
  <si>
    <t>Revolver Interest Expense</t>
  </si>
  <si>
    <t>Total Revolver Interest Expense</t>
  </si>
  <si>
    <t>Terminal Growth</t>
  </si>
  <si>
    <t>Terminal Value Stage:</t>
  </si>
  <si>
    <r>
      <rPr>
        <b/>
        <sz val="11"/>
        <color rgb="FFFF0000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-growth %</t>
    </r>
  </si>
  <si>
    <r>
      <rPr>
        <b/>
        <sz val="11"/>
        <color rgb="FFFF0000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-growth%</t>
    </r>
  </si>
  <si>
    <r>
      <rPr>
        <b/>
        <sz val="11"/>
        <color rgb="FFFF0000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-# Years</t>
    </r>
  </si>
  <si>
    <t>Comps</t>
  </si>
  <si>
    <t>Book (Shareholders Equity)</t>
  </si>
  <si>
    <r>
      <t xml:space="preserve">Common Stock Over / </t>
    </r>
    <r>
      <rPr>
        <b/>
        <sz val="12"/>
        <color rgb="FFFF0000"/>
        <rFont val="Times New Roman"/>
        <family val="1"/>
      </rPr>
      <t>(Under)</t>
    </r>
    <r>
      <rPr>
        <b/>
        <sz val="12"/>
        <color theme="1"/>
        <rFont val="Times New Roman"/>
        <family val="1"/>
      </rPr>
      <t xml:space="preserve"> Valuation:</t>
    </r>
  </si>
  <si>
    <t>• Some assets' values derive entirely from their</t>
  </si>
  <si>
    <t>2012 Percent Returns………..…….…………………………………….</t>
  </si>
  <si>
    <t>Exhibits:</t>
  </si>
  <si>
    <t>Merrill Lynch (Jan., 2012)</t>
  </si>
  <si>
    <t>Geometric avg - Stocks over T.Bonds: 1928-2011</t>
  </si>
  <si>
    <t>Source</t>
  </si>
  <si>
    <t>Avg. of implied equity risk premium: 1960-2011</t>
  </si>
  <si>
    <t>Campbell and Harvey (2010); Avg. estimate. Median = 2.7%</t>
  </si>
  <si>
    <t>Implied premium adj. for T.Bond rate and term</t>
  </si>
  <si>
    <t>*</t>
  </si>
  <si>
    <t>$ mil</t>
  </si>
  <si>
    <t>10-year Treasury-Bond</t>
  </si>
  <si>
    <t>Equity Risk Premium</t>
  </si>
  <si>
    <t>Value of Debt, 2012</t>
  </si>
  <si>
    <r>
      <rPr>
        <sz val="12"/>
        <color rgb="FFFF0000"/>
        <rFont val="Calibri"/>
        <family val="2"/>
        <scheme val="minor"/>
      </rPr>
      <t>←</t>
    </r>
    <r>
      <rPr>
        <sz val="9"/>
        <color theme="1"/>
        <rFont val="Calibri"/>
        <family val="2"/>
        <scheme val="minor"/>
      </rPr>
      <t xml:space="preserve"> Selected estimate</t>
    </r>
  </si>
  <si>
    <r>
      <t>Estimates of Equity Risk Premium (ERP) for the United States in 2012:</t>
    </r>
    <r>
      <rPr>
        <sz val="10"/>
        <rFont val="Calibri"/>
        <family val="2"/>
        <scheme val="minor"/>
      </rPr>
      <t xml:space="preserve">   (Aswath Damodaran- http://pages.stern.nyu.edu/~adamodar/)</t>
    </r>
  </si>
  <si>
    <t>Weighted Avg Cost of Capital (WACC)</t>
  </si>
  <si>
    <t>Summary of Findings (pt. 5)</t>
  </si>
  <si>
    <t>Total Mfg</t>
  </si>
  <si>
    <t>Net Working Capital..………..…….…………………………………….</t>
  </si>
  <si>
    <t>Δ</t>
  </si>
  <si>
    <t>Days Payable - AP/COGS</t>
  </si>
  <si>
    <t>Days Receivable - AR/Revenue</t>
  </si>
  <si>
    <t>Inventory Turns - COGS/Invntry</t>
  </si>
  <si>
    <t>(plug to tie Cash Flow)</t>
  </si>
  <si>
    <t>(plug to Balance)</t>
  </si>
  <si>
    <t>Ratio Toggles</t>
  </si>
  <si>
    <t>2016 (F)</t>
  </si>
  <si>
    <t>2017 (F)</t>
  </si>
  <si>
    <t>Business Unit performance (historical &amp; forecasted)</t>
  </si>
  <si>
    <r>
      <t xml:space="preserve">Net Working Capital- Historical &amp; Forecasted </t>
    </r>
    <r>
      <rPr>
        <u/>
        <sz val="12"/>
        <color theme="1"/>
        <rFont val="Times New Roman"/>
        <family val="1"/>
      </rPr>
      <t>($000's)</t>
    </r>
  </si>
  <si>
    <t>Current Assets:</t>
  </si>
  <si>
    <t>Current Liabilities:</t>
  </si>
  <si>
    <t>• Cash</t>
  </si>
  <si>
    <t>• Inventory</t>
  </si>
  <si>
    <t>• Assets held for sale</t>
  </si>
  <si>
    <t>• Other current</t>
  </si>
  <si>
    <t>• Deferred revenue</t>
  </si>
  <si>
    <t>• Accounts payable</t>
  </si>
  <si>
    <t>• Accounts receivable</t>
  </si>
  <si>
    <t>• Other accrued current</t>
  </si>
  <si>
    <t>Consolidated Company View</t>
  </si>
  <si>
    <t>Senior Notes</t>
  </si>
  <si>
    <t>Term Loan #2</t>
  </si>
  <si>
    <t>Term Loan #3</t>
  </si>
  <si>
    <t>Term Loan #1</t>
  </si>
  <si>
    <t>Revolver</t>
  </si>
  <si>
    <t>Line of Credit</t>
  </si>
  <si>
    <r>
      <t xml:space="preserve">Proceeds / </t>
    </r>
    <r>
      <rPr>
        <sz val="11"/>
        <color rgb="FFFF0000"/>
        <rFont val="Calibri"/>
        <family val="2"/>
        <scheme val="minor"/>
      </rPr>
      <t>(Repayments)</t>
    </r>
  </si>
  <si>
    <t>Biz1</t>
  </si>
  <si>
    <t>Biz2</t>
  </si>
  <si>
    <t>CORP</t>
  </si>
  <si>
    <t>Business Unit 1</t>
  </si>
  <si>
    <t>AAA</t>
  </si>
  <si>
    <t>AAA P&amp;L</t>
  </si>
  <si>
    <t>AAA OpEx</t>
  </si>
  <si>
    <t>BBB</t>
  </si>
  <si>
    <t>BBB OpEx</t>
  </si>
  <si>
    <t>BBB AAA</t>
  </si>
  <si>
    <t>CCC</t>
  </si>
  <si>
    <t>CCC OpEx</t>
  </si>
  <si>
    <t>Mgmt Fee</t>
  </si>
  <si>
    <t>Product 4</t>
  </si>
  <si>
    <t>Small Product 5</t>
  </si>
  <si>
    <t>Medium Product 5</t>
  </si>
  <si>
    <t>Large Product 5</t>
  </si>
  <si>
    <t>Product 6</t>
  </si>
  <si>
    <t>Company</t>
  </si>
  <si>
    <t>Total Equity Company</t>
  </si>
  <si>
    <t>Biz2 Mgmt Fee</t>
  </si>
  <si>
    <t>Business Unit 2</t>
  </si>
  <si>
    <t>Corporate Overhead Business Unit</t>
  </si>
  <si>
    <t>Company's Equity Value ($ mil), per:</t>
  </si>
  <si>
    <t>• Appropriate for Company's steady growth</t>
  </si>
  <si>
    <t>Company's Market Value of Common Equity:</t>
  </si>
  <si>
    <t>Company's WACC…………………………………...…………………..</t>
  </si>
  <si>
    <t>Company's Market Comps Valuation……………………………………</t>
  </si>
  <si>
    <t>to Company's Business Units' EBITDA</t>
  </si>
  <si>
    <t>Company's DCF Valuation………………………………………………</t>
  </si>
  <si>
    <t>Company Weighted Average Cost of Capital</t>
  </si>
  <si>
    <t>Company Market Comparables Valuation</t>
  </si>
  <si>
    <t>Company DCF Valuation</t>
  </si>
  <si>
    <t>Cost of Debt (from Company financials)</t>
  </si>
  <si>
    <t>Company Bus. Units</t>
  </si>
  <si>
    <t>Company is Undervalued by the Market</t>
  </si>
  <si>
    <t>Company Beta</t>
  </si>
  <si>
    <t>Company Cost of Equity</t>
  </si>
  <si>
    <t>Company Cost of Debt</t>
  </si>
  <si>
    <t>• Company EBITDA by Business Unit</t>
  </si>
  <si>
    <t>Company is Undervalued by the Market…………………………………</t>
  </si>
  <si>
    <t>Company financials:</t>
  </si>
  <si>
    <t>Operations</t>
  </si>
  <si>
    <t>Total, Operations</t>
  </si>
  <si>
    <t>Total Operations</t>
  </si>
  <si>
    <t>N.I.</t>
  </si>
  <si>
    <t>Comp1</t>
  </si>
  <si>
    <t>Comp2</t>
  </si>
  <si>
    <t>Comp3</t>
  </si>
  <si>
    <t>COMP1</t>
  </si>
  <si>
    <t>COMP2</t>
  </si>
  <si>
    <t>COMP3</t>
  </si>
  <si>
    <t>CO</t>
  </si>
  <si>
    <t>`</t>
  </si>
  <si>
    <t>Two methodologies for Company……………….…………………...……</t>
  </si>
  <si>
    <t>Total, Company</t>
  </si>
  <si>
    <t>Note: Market data from Yahoo! Finance</t>
  </si>
  <si>
    <r>
      <rPr>
        <sz val="11"/>
        <color rgb="FFFF0000"/>
        <rFont val="Times New Roman"/>
        <family val="1"/>
      </rPr>
      <t>*</t>
    </r>
    <r>
      <rPr>
        <sz val="11"/>
        <rFont val="Times New Roman"/>
        <family val="1"/>
      </rPr>
      <t>Forecast of remainder of fiscal year</t>
    </r>
  </si>
  <si>
    <t>Statement of Cash Flows</t>
  </si>
  <si>
    <t>Business Unit #2</t>
  </si>
  <si>
    <t>Business Unit #1</t>
  </si>
  <si>
    <t>Business Drivers w/ assumptions</t>
  </si>
  <si>
    <t>Financial Ratios &amp; Analysis</t>
  </si>
  <si>
    <t>Debt Schedule</t>
  </si>
  <si>
    <t>Comparables</t>
  </si>
  <si>
    <t>Peer companies 1, 2, &amp; 3</t>
  </si>
  <si>
    <t>Similar stats for Company</t>
  </si>
  <si>
    <t>Presentation</t>
  </si>
  <si>
    <t>Cost of Capital calculation</t>
  </si>
  <si>
    <t>Valuations (DCF &amp; EV/EBITDA)</t>
  </si>
  <si>
    <t>Summary graphs</t>
  </si>
  <si>
    <t>Introduction &amp; methodology</t>
  </si>
  <si>
    <t>Company Rollup</t>
  </si>
  <si>
    <t>Overhead Unit</t>
  </si>
  <si>
    <t>This workbook contains a two-part valuation of a manufacturing "Company" with two operating units and an corporate overhead cost center</t>
  </si>
  <si>
    <t>Income Statement &amp; DCF</t>
  </si>
  <si>
    <t>The Company-level Rollup includes a Discounted Cash Flow Valuation of the business. The tabs are color-coded as follows:</t>
  </si>
  <si>
    <t>Finally, the Presentation tab contains a brief introduction to the methodology, calculations of the two Valuations, and summary exhibits</t>
  </si>
  <si>
    <t>The "Comparables" tab contains financial information about a "peer-group" of 3 public companies, whose  Price-to-Earnings (EV/EBITDA) ratio determines an alternate Valuation:</t>
  </si>
  <si>
    <t>Select the "Print Preview" option in the Presentation tab to see a slideshow version:</t>
  </si>
  <si>
    <t>Production by Product Type</t>
  </si>
  <si>
    <t>Pricing by Product Type</t>
  </si>
  <si>
    <t>Note: All except the Rollup (black) tabs are protected; please contact scott@ExcelModels.com to unlock</t>
  </si>
  <si>
    <t>Earnings, Internal</t>
  </si>
  <si>
    <t>Copyright 2016,  Scott Beber, ExcelModels.com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</si>
</sst>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"/>
    <numFmt numFmtId="165" formatCode="yyyy;@"/>
    <numFmt numFmtId="166" formatCode="[$-409]mmmdd;@"/>
    <numFmt numFmtId="167" formatCode="0.0%"/>
    <numFmt numFmtId="168" formatCode="#,##0.0_);[Red]\(#,##0.0\)"/>
    <numFmt numFmtId="169" formatCode="0.0\x;[Red]\(0.0\)\x"/>
    <numFmt numFmtId="170" formatCode="0.00\x;[Red]\(0.00\)\x"/>
    <numFmt numFmtId="171" formatCode="0\ &quot;days&quot;"/>
    <numFmt numFmtId="172" formatCode="0.000"/>
    <numFmt numFmtId="173" formatCode="&quot;$&quot;#,##0.0_);[Red]\(&quot;$&quot;#,##0.0\)"/>
    <numFmt numFmtId="174" formatCode="&quot;$&quot;#,##0.0_);\(&quot;$&quot;#,##0.0\)"/>
    <numFmt numFmtId="175" formatCode="m/d/yy;@"/>
    <numFmt numFmtId="176" formatCode="mmmyyyy"/>
    <numFmt numFmtId="177" formatCode="0%;[Red]\(0%\)"/>
    <numFmt numFmtId="178" formatCode="0.0%;[Red]\(0.0%\)"/>
    <numFmt numFmtId="179" formatCode="0.00000"/>
  </numFmts>
  <fonts count="11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66"/>
      <name val="Calibri"/>
      <family val="2"/>
      <scheme val="minor"/>
    </font>
    <font>
      <sz val="5"/>
      <name val="Small Fonts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66"/>
      <name val="Calibri"/>
      <family val="2"/>
      <scheme val="minor"/>
    </font>
    <font>
      <sz val="5"/>
      <color theme="1"/>
      <name val="Small Fonts"/>
      <family val="2"/>
    </font>
    <font>
      <b/>
      <sz val="11"/>
      <color theme="5" tint="-0.499984740745262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color rgb="FF000099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u/>
      <sz val="11"/>
      <color theme="5" tint="-0.499984740745262"/>
      <name val="Calibri"/>
      <family val="2"/>
      <scheme val="minor"/>
    </font>
    <font>
      <b/>
      <sz val="11"/>
      <color rgb="FF003300"/>
      <name val="Calibri"/>
      <family val="2"/>
      <scheme val="minor"/>
    </font>
    <font>
      <sz val="11"/>
      <color rgb="FF003300"/>
      <name val="Calibri"/>
      <family val="2"/>
      <scheme val="minor"/>
    </font>
    <font>
      <u/>
      <sz val="11"/>
      <color rgb="FF003300"/>
      <name val="Calibri"/>
      <family val="2"/>
      <scheme val="minor"/>
    </font>
    <font>
      <sz val="5"/>
      <color rgb="FF003300"/>
      <name val="Small Fonts"/>
      <family val="2"/>
    </font>
    <font>
      <sz val="11"/>
      <color rgb="FF00660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5"/>
      <color rgb="FF000066"/>
      <name val="Small Fonts"/>
      <family val="2"/>
    </font>
    <font>
      <u/>
      <sz val="11"/>
      <color rgb="FF000066"/>
      <name val="Calibri"/>
      <family val="2"/>
      <scheme val="minor"/>
    </font>
    <font>
      <sz val="5"/>
      <color rgb="FF000099"/>
      <name val="Small Fonts"/>
      <family val="2"/>
    </font>
    <font>
      <b/>
      <sz val="11"/>
      <color rgb="FF800000"/>
      <name val="Calibri"/>
      <family val="2"/>
      <scheme val="minor"/>
    </font>
    <font>
      <sz val="11"/>
      <color rgb="FF800000"/>
      <name val="Calibri"/>
      <family val="2"/>
      <scheme val="minor"/>
    </font>
    <font>
      <sz val="5"/>
      <color rgb="FF800000"/>
      <name val="Small Fonts"/>
      <family val="2"/>
    </font>
    <font>
      <b/>
      <u/>
      <sz val="10"/>
      <color indexed="81"/>
      <name val="Times New Roman"/>
      <family val="1"/>
    </font>
    <font>
      <b/>
      <sz val="10"/>
      <color indexed="81"/>
      <name val="Times New Roman"/>
      <family val="1"/>
    </font>
    <font>
      <sz val="10"/>
      <color indexed="81"/>
      <name val="Times New Roman"/>
      <family val="1"/>
    </font>
    <font>
      <sz val="10"/>
      <color indexed="8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5"/>
      <color rgb="FF0000FF"/>
      <name val="Small Fonts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5"/>
      <color theme="5" tint="-0.499984740745262"/>
      <name val="Small Fonts"/>
      <family val="2"/>
    </font>
    <font>
      <b/>
      <sz val="5"/>
      <color theme="5" tint="-0.499984740745262"/>
      <name val="Small Fonts"/>
      <family val="2"/>
    </font>
    <font>
      <b/>
      <u/>
      <sz val="11"/>
      <name val="Calibri"/>
      <family val="2"/>
      <scheme val="minor"/>
    </font>
    <font>
      <sz val="10"/>
      <color indexed="81"/>
      <name val="Tahoma"/>
      <family val="2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0"/>
      <color theme="1"/>
      <name val="Calibri"/>
      <family val="2"/>
      <scheme val="minor"/>
    </font>
    <font>
      <sz val="22"/>
      <color theme="1"/>
      <name val="Times New Roman"/>
      <family val="1"/>
    </font>
    <font>
      <b/>
      <u/>
      <sz val="9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i/>
      <u/>
      <sz val="11"/>
      <name val="Calibri"/>
      <family val="2"/>
      <scheme val="minor"/>
    </font>
    <font>
      <b/>
      <sz val="9"/>
      <color rgb="FF003300"/>
      <name val="Calibri"/>
      <family val="2"/>
      <scheme val="minor"/>
    </font>
    <font>
      <b/>
      <u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i/>
      <u/>
      <sz val="12"/>
      <color theme="1"/>
      <name val="Times New Roman"/>
      <family val="1"/>
    </font>
    <font>
      <u/>
      <sz val="11"/>
      <color theme="1"/>
      <name val="Times New Roman"/>
      <family val="1"/>
    </font>
    <font>
      <u/>
      <sz val="12"/>
      <color rgb="FFFF0000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u/>
      <sz val="16"/>
      <color theme="1"/>
      <name val="Times New Roman"/>
      <family val="1"/>
    </font>
    <font>
      <u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1"/>
      <color theme="3" tint="-0.249977111117893"/>
      <name val="Calibri"/>
      <family val="2"/>
      <scheme val="minor"/>
    </font>
    <font>
      <sz val="5"/>
      <color theme="0"/>
      <name val="Small Fonts"/>
      <family val="2"/>
    </font>
    <font>
      <sz val="12"/>
      <color theme="0"/>
      <name val="Times New Roman"/>
      <family val="1"/>
    </font>
    <font>
      <sz val="6"/>
      <name val="Small Fonts"/>
      <family val="2"/>
    </font>
    <font>
      <sz val="5"/>
      <color theme="0" tint="-0.14999847407452621"/>
      <name val="Small Fonts"/>
      <family val="2"/>
    </font>
    <font>
      <sz val="8"/>
      <color theme="1"/>
      <name val="Arial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1"/>
      <color theme="0" tint="-0.499984740745262"/>
      <name val="Times New Roman"/>
      <family val="1"/>
    </font>
    <font>
      <sz val="8"/>
      <color theme="0" tint="-0.49998474074526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b/>
      <sz val="11"/>
      <color indexed="60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indexed="23" tint="0.499984740745262"/>
      <name val="Calibri"/>
      <family val="2"/>
      <scheme val="minor"/>
    </font>
    <font>
      <b/>
      <sz val="11"/>
      <color indexed="2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indexed="60" tint="-0.499984740745262"/>
      <name val="Calibri"/>
      <family val="2"/>
      <scheme val="minor"/>
    </font>
    <font>
      <sz val="6.5"/>
      <name val="Small Fonts"/>
      <family val="2"/>
    </font>
    <font>
      <sz val="6.5"/>
      <color theme="1"/>
      <name val="Small Fonts"/>
      <family val="2"/>
    </font>
    <font>
      <sz val="6.5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b/>
      <sz val="12"/>
      <color rgb="FF0000FF"/>
      <name val="Times New Roman"/>
      <family val="1"/>
    </font>
    <font>
      <b/>
      <sz val="12"/>
      <color rgb="FF663300"/>
      <name val="Times New Roman"/>
      <family val="1"/>
    </font>
    <font>
      <b/>
      <sz val="12"/>
      <color rgb="FF003300"/>
      <name val="Times New Roman"/>
      <family val="1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966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ck">
        <color rgb="FFC00000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rgb="FF000066"/>
      </bottom>
      <diagonal/>
    </border>
    <border>
      <left/>
      <right/>
      <top/>
      <bottom style="medium">
        <color rgb="FF663300"/>
      </bottom>
      <diagonal/>
    </border>
    <border>
      <left/>
      <right/>
      <top/>
      <bottom style="medium">
        <color rgb="FF003300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000066"/>
      </left>
      <right style="thin">
        <color rgb="FF000066"/>
      </right>
      <top style="thin">
        <color rgb="FF000066"/>
      </top>
      <bottom style="thin">
        <color rgb="FF000066"/>
      </bottom>
      <diagonal/>
    </border>
    <border>
      <left style="hair">
        <color rgb="FF000066"/>
      </left>
      <right/>
      <top style="hair">
        <color rgb="FF000066"/>
      </top>
      <bottom/>
      <diagonal/>
    </border>
    <border>
      <left/>
      <right/>
      <top style="hair">
        <color rgb="FF000066"/>
      </top>
      <bottom/>
      <diagonal/>
    </border>
    <border>
      <left/>
      <right style="hair">
        <color rgb="FF000066"/>
      </right>
      <top style="hair">
        <color rgb="FF000066"/>
      </top>
      <bottom/>
      <diagonal/>
    </border>
    <border>
      <left style="hair">
        <color rgb="FF000066"/>
      </left>
      <right/>
      <top/>
      <bottom/>
      <diagonal/>
    </border>
    <border>
      <left/>
      <right style="hair">
        <color rgb="FF000066"/>
      </right>
      <top/>
      <bottom/>
      <diagonal/>
    </border>
    <border>
      <left style="hair">
        <color rgb="FF000066"/>
      </left>
      <right/>
      <top/>
      <bottom style="hair">
        <color rgb="FF000066"/>
      </bottom>
      <diagonal/>
    </border>
    <border>
      <left/>
      <right/>
      <top/>
      <bottom style="hair">
        <color rgb="FF000066"/>
      </bottom>
      <diagonal/>
    </border>
    <border>
      <left/>
      <right style="hair">
        <color rgb="FF000066"/>
      </right>
      <top/>
      <bottom style="hair">
        <color rgb="FF000066"/>
      </bottom>
      <diagonal/>
    </border>
  </borders>
  <cellStyleXfs count="7">
    <xf numFmtId="0" fontId="0" fillId="0" borderId="0"/>
    <xf numFmtId="0" fontId="1" fillId="2" borderId="1" applyNumberFormat="0" applyAlignment="0" applyProtection="0"/>
    <xf numFmtId="9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8" fillId="14" borderId="22" applyNumberFormat="0" applyFont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</cellStyleXfs>
  <cellXfs count="602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center"/>
    </xf>
    <xf numFmtId="1" fontId="0" fillId="0" borderId="0" xfId="0" applyNumberFormat="1" applyAlignment="1">
      <alignment horizontal="centerContinuous"/>
    </xf>
    <xf numFmtId="164" fontId="0" fillId="0" borderId="0" xfId="0" applyNumberFormat="1" applyAlignment="1">
      <alignment horizontal="centerContinuous"/>
    </xf>
    <xf numFmtId="165" fontId="0" fillId="0" borderId="3" xfId="0" applyNumberFormat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165" fontId="0" fillId="4" borderId="4" xfId="0" applyNumberFormat="1" applyFill="1" applyBorder="1" applyAlignment="1">
      <alignment horizontal="center"/>
    </xf>
    <xf numFmtId="166" fontId="0" fillId="5" borderId="5" xfId="0" applyNumberFormat="1" applyFill="1" applyBorder="1" applyAlignment="1">
      <alignment horizontal="center"/>
    </xf>
    <xf numFmtId="166" fontId="0" fillId="5" borderId="6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5" fillId="0" borderId="0" xfId="0" applyFont="1"/>
    <xf numFmtId="38" fontId="4" fillId="0" borderId="8" xfId="1" applyNumberFormat="1" applyFont="1" applyFill="1" applyBorder="1" applyAlignment="1">
      <alignment horizontal="center"/>
    </xf>
    <xf numFmtId="38" fontId="5" fillId="6" borderId="9" xfId="1" applyNumberFormat="1" applyFont="1" applyFill="1" applyBorder="1"/>
    <xf numFmtId="38" fontId="4" fillId="0" borderId="0" xfId="0" applyNumberFormat="1" applyFont="1" applyFill="1" applyAlignment="1">
      <alignment horizontal="center"/>
    </xf>
    <xf numFmtId="38" fontId="5" fillId="6" borderId="0" xfId="0" applyNumberFormat="1" applyFont="1" applyFill="1"/>
    <xf numFmtId="0" fontId="5" fillId="0" borderId="0" xfId="0" applyFont="1" applyFill="1"/>
    <xf numFmtId="38" fontId="5" fillId="0" borderId="0" xfId="0" applyNumberFormat="1" applyFont="1" applyFill="1"/>
    <xf numFmtId="1" fontId="5" fillId="0" borderId="0" xfId="0" applyNumberFormat="1" applyFont="1" applyFill="1"/>
    <xf numFmtId="38" fontId="5" fillId="0" borderId="1" xfId="1" applyNumberFormat="1" applyFont="1" applyFill="1"/>
    <xf numFmtId="167" fontId="5" fillId="0" borderId="0" xfId="0" applyNumberFormat="1" applyFont="1" applyFill="1"/>
    <xf numFmtId="167" fontId="5" fillId="0" borderId="1" xfId="1" applyNumberFormat="1" applyFont="1" applyFill="1"/>
    <xf numFmtId="167" fontId="4" fillId="0" borderId="0" xfId="0" applyNumberFormat="1" applyFont="1" applyFill="1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38" fontId="5" fillId="0" borderId="10" xfId="1" applyNumberFormat="1" applyFont="1" applyFill="1" applyBorder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/>
    <xf numFmtId="167" fontId="5" fillId="0" borderId="0" xfId="0" applyNumberFormat="1" applyFont="1" applyAlignment="1">
      <alignment horizontal="center"/>
    </xf>
    <xf numFmtId="8" fontId="5" fillId="0" borderId="0" xfId="0" applyNumberFormat="1" applyFont="1"/>
    <xf numFmtId="38" fontId="5" fillId="0" borderId="0" xfId="0" applyNumberFormat="1" applyFont="1"/>
    <xf numFmtId="0" fontId="2" fillId="0" borderId="0" xfId="0" applyFont="1"/>
    <xf numFmtId="0" fontId="8" fillId="0" borderId="0" xfId="0" applyFont="1"/>
    <xf numFmtId="0" fontId="9" fillId="0" borderId="0" xfId="0" applyFont="1"/>
    <xf numFmtId="38" fontId="5" fillId="2" borderId="1" xfId="1" applyNumberFormat="1" applyFont="1"/>
    <xf numFmtId="0" fontId="5" fillId="2" borderId="1" xfId="1" applyFont="1"/>
    <xf numFmtId="167" fontId="5" fillId="0" borderId="0" xfId="0" applyNumberFormat="1" applyFont="1"/>
    <xf numFmtId="167" fontId="5" fillId="3" borderId="2" xfId="0" applyNumberFormat="1" applyFont="1" applyFill="1" applyBorder="1"/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38" fontId="11" fillId="0" borderId="0" xfId="0" applyNumberFormat="1" applyFont="1" applyFill="1"/>
    <xf numFmtId="0" fontId="0" fillId="0" borderId="0" xfId="0" applyFill="1"/>
    <xf numFmtId="38" fontId="0" fillId="0" borderId="0" xfId="0" applyNumberFormat="1" applyFill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Fill="1"/>
    <xf numFmtId="0" fontId="15" fillId="0" borderId="0" xfId="0" applyFont="1"/>
    <xf numFmtId="38" fontId="15" fillId="0" borderId="0" xfId="0" applyNumberFormat="1" applyFont="1" applyFill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6" fontId="16" fillId="0" borderId="0" xfId="0" applyNumberFormat="1" applyFont="1" applyBorder="1" applyAlignment="1">
      <alignment horizontal="center"/>
    </xf>
    <xf numFmtId="38" fontId="16" fillId="6" borderId="9" xfId="1" applyNumberFormat="1" applyFont="1" applyFill="1" applyBorder="1"/>
    <xf numFmtId="38" fontId="16" fillId="6" borderId="1" xfId="1" applyNumberFormat="1" applyFont="1" applyFill="1"/>
    <xf numFmtId="38" fontId="16" fillId="6" borderId="0" xfId="0" applyNumberFormat="1" applyFont="1" applyFill="1"/>
    <xf numFmtId="0" fontId="16" fillId="0" borderId="0" xfId="0" applyFont="1" applyFill="1"/>
    <xf numFmtId="38" fontId="16" fillId="0" borderId="0" xfId="0" applyNumberFormat="1" applyFont="1" applyFill="1"/>
    <xf numFmtId="0" fontId="17" fillId="0" borderId="0" xfId="0" applyFont="1"/>
    <xf numFmtId="0" fontId="10" fillId="0" borderId="0" xfId="0" applyFont="1" applyFill="1"/>
    <xf numFmtId="38" fontId="10" fillId="0" borderId="1" xfId="1" applyNumberFormat="1" applyFont="1" applyFill="1"/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6" fontId="19" fillId="0" borderId="0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 applyFill="1" applyAlignment="1">
      <alignment horizontal="center"/>
    </xf>
    <xf numFmtId="38" fontId="21" fillId="0" borderId="8" xfId="1" applyNumberFormat="1" applyFont="1" applyFill="1" applyBorder="1" applyAlignment="1">
      <alignment horizontal="center"/>
    </xf>
    <xf numFmtId="38" fontId="19" fillId="6" borderId="9" xfId="1" applyNumberFormat="1" applyFont="1" applyFill="1" applyBorder="1"/>
    <xf numFmtId="38" fontId="19" fillId="6" borderId="1" xfId="1" applyNumberFormat="1" applyFont="1" applyFill="1"/>
    <xf numFmtId="38" fontId="21" fillId="0" borderId="0" xfId="0" applyNumberFormat="1" applyFont="1" applyFill="1" applyAlignment="1">
      <alignment horizontal="center"/>
    </xf>
    <xf numFmtId="38" fontId="19" fillId="6" borderId="0" xfId="0" applyNumberFormat="1" applyFont="1" applyFill="1"/>
    <xf numFmtId="0" fontId="19" fillId="0" borderId="0" xfId="0" applyFont="1" applyFill="1"/>
    <xf numFmtId="38" fontId="19" fillId="0" borderId="0" xfId="0" applyNumberFormat="1" applyFont="1" applyFill="1"/>
    <xf numFmtId="38" fontId="19" fillId="0" borderId="1" xfId="1" applyNumberFormat="1" applyFont="1" applyFill="1"/>
    <xf numFmtId="0" fontId="22" fillId="0" borderId="0" xfId="0" applyFont="1"/>
    <xf numFmtId="38" fontId="18" fillId="0" borderId="1" xfId="1" applyNumberFormat="1" applyFont="1" applyFill="1"/>
    <xf numFmtId="0" fontId="18" fillId="0" borderId="0" xfId="0" applyFont="1" applyFill="1"/>
    <xf numFmtId="38" fontId="7" fillId="0" borderId="1" xfId="1" applyNumberFormat="1" applyFont="1" applyFill="1"/>
    <xf numFmtId="0" fontId="7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38" fontId="8" fillId="0" borderId="0" xfId="0" applyNumberFormat="1" applyFont="1" applyFill="1"/>
    <xf numFmtId="0" fontId="8" fillId="0" borderId="0" xfId="0" applyFont="1" applyFill="1"/>
    <xf numFmtId="38" fontId="16" fillId="2" borderId="1" xfId="1" applyNumberFormat="1" applyFont="1"/>
    <xf numFmtId="38" fontId="19" fillId="2" borderId="1" xfId="1" applyNumberFormat="1" applyFont="1"/>
    <xf numFmtId="38" fontId="25" fillId="0" borderId="8" xfId="1" applyNumberFormat="1" applyFont="1" applyFill="1" applyBorder="1" applyAlignment="1">
      <alignment horizontal="center"/>
    </xf>
    <xf numFmtId="38" fontId="8" fillId="6" borderId="9" xfId="1" applyNumberFormat="1" applyFont="1" applyFill="1" applyBorder="1"/>
    <xf numFmtId="38" fontId="25" fillId="0" borderId="0" xfId="0" applyNumberFormat="1" applyFont="1" applyFill="1" applyAlignment="1">
      <alignment horizontal="center"/>
    </xf>
    <xf numFmtId="38" fontId="8" fillId="6" borderId="0" xfId="0" applyNumberFormat="1" applyFont="1" applyFill="1"/>
    <xf numFmtId="0" fontId="26" fillId="0" borderId="0" xfId="0" applyFont="1"/>
    <xf numFmtId="38" fontId="3" fillId="0" borderId="1" xfId="1" applyNumberFormat="1" applyFont="1" applyFill="1"/>
    <xf numFmtId="0" fontId="3" fillId="0" borderId="0" xfId="0" applyFont="1" applyFill="1"/>
    <xf numFmtId="38" fontId="27" fillId="0" borderId="0" xfId="0" applyNumberFormat="1" applyFont="1" applyFill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66" fontId="29" fillId="0" borderId="0" xfId="0" applyNumberFormat="1" applyFont="1" applyBorder="1" applyAlignment="1">
      <alignment horizontal="center"/>
    </xf>
    <xf numFmtId="0" fontId="29" fillId="0" borderId="0" xfId="0" applyFont="1"/>
    <xf numFmtId="38" fontId="30" fillId="0" borderId="8" xfId="1" applyNumberFormat="1" applyFont="1" applyFill="1" applyBorder="1" applyAlignment="1">
      <alignment horizontal="center"/>
    </xf>
    <xf numFmtId="38" fontId="29" fillId="6" borderId="9" xfId="1" applyNumberFormat="1" applyFont="1" applyFill="1" applyBorder="1"/>
    <xf numFmtId="38" fontId="29" fillId="6" borderId="1" xfId="1" applyNumberFormat="1" applyFont="1" applyFill="1"/>
    <xf numFmtId="38" fontId="30" fillId="0" borderId="0" xfId="0" applyNumberFormat="1" applyFont="1" applyFill="1" applyAlignment="1">
      <alignment horizontal="center"/>
    </xf>
    <xf numFmtId="38" fontId="29" fillId="6" borderId="0" xfId="0" applyNumberFormat="1" applyFont="1" applyFill="1"/>
    <xf numFmtId="0" fontId="29" fillId="0" borderId="0" xfId="0" applyFont="1" applyFill="1"/>
    <xf numFmtId="38" fontId="29" fillId="0" borderId="0" xfId="0" applyNumberFormat="1" applyFont="1" applyFill="1"/>
    <xf numFmtId="38" fontId="28" fillId="0" borderId="1" xfId="1" applyNumberFormat="1" applyFont="1" applyFill="1"/>
    <xf numFmtId="0" fontId="28" fillId="0" borderId="0" xfId="0" applyFont="1" applyFill="1"/>
    <xf numFmtId="38" fontId="8" fillId="0" borderId="0" xfId="0" applyNumberFormat="1" applyFont="1"/>
    <xf numFmtId="38" fontId="8" fillId="2" borderId="1" xfId="1" applyNumberFormat="1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165" fontId="0" fillId="4" borderId="7" xfId="0" applyNumberFormat="1" applyFill="1" applyBorder="1" applyAlignment="1">
      <alignment horizontal="center"/>
    </xf>
    <xf numFmtId="38" fontId="5" fillId="0" borderId="0" xfId="1" applyNumberFormat="1" applyFont="1" applyFill="1" applyBorder="1"/>
    <xf numFmtId="167" fontId="7" fillId="0" borderId="0" xfId="0" applyNumberFormat="1" applyFont="1" applyFill="1" applyBorder="1" applyAlignment="1">
      <alignment horizontal="center"/>
    </xf>
    <xf numFmtId="40" fontId="5" fillId="0" borderId="0" xfId="1" applyNumberFormat="1" applyFont="1" applyFill="1" applyBorder="1" applyAlignment="1">
      <alignment horizontal="center"/>
    </xf>
    <xf numFmtId="38" fontId="1" fillId="2" borderId="12" xfId="1" applyNumberFormat="1" applyBorder="1" applyAlignment="1">
      <alignment horizontal="center"/>
    </xf>
    <xf numFmtId="0" fontId="17" fillId="0" borderId="0" xfId="0" applyFont="1" applyFill="1"/>
    <xf numFmtId="0" fontId="20" fillId="0" borderId="0" xfId="0" applyFont="1" applyFill="1"/>
    <xf numFmtId="38" fontId="8" fillId="6" borderId="1" xfId="1" applyNumberFormat="1" applyFont="1" applyFill="1"/>
    <xf numFmtId="0" fontId="8" fillId="0" borderId="0" xfId="0" applyFont="1" applyAlignment="1">
      <alignment horizontal="left" indent="1"/>
    </xf>
    <xf numFmtId="0" fontId="26" fillId="0" borderId="0" xfId="0" applyFont="1" applyAlignment="1">
      <alignment horizontal="left" indent="1"/>
    </xf>
    <xf numFmtId="38" fontId="8" fillId="0" borderId="1" xfId="1" applyNumberFormat="1" applyFont="1" applyFill="1"/>
    <xf numFmtId="0" fontId="8" fillId="0" borderId="0" xfId="0" applyFont="1" applyFill="1" applyAlignment="1">
      <alignment horizontal="left" indent="1"/>
    </xf>
    <xf numFmtId="0" fontId="26" fillId="0" borderId="0" xfId="0" applyFont="1" applyFill="1" applyAlignment="1">
      <alignment horizontal="left" indent="1"/>
    </xf>
    <xf numFmtId="0" fontId="26" fillId="0" borderId="0" xfId="0" applyFont="1" applyFill="1"/>
    <xf numFmtId="38" fontId="5" fillId="0" borderId="0" xfId="0" applyNumberFormat="1" applyFont="1" applyAlignment="1"/>
    <xf numFmtId="38" fontId="11" fillId="2" borderId="1" xfId="1" applyNumberFormat="1" applyFont="1"/>
    <xf numFmtId="0" fontId="37" fillId="0" borderId="0" xfId="0" applyFont="1" applyFill="1" applyAlignment="1">
      <alignment horizontal="center"/>
    </xf>
    <xf numFmtId="38" fontId="11" fillId="0" borderId="0" xfId="0" applyNumberFormat="1" applyFont="1"/>
    <xf numFmtId="38" fontId="0" fillId="0" borderId="0" xfId="0" applyNumberFormat="1"/>
    <xf numFmtId="38" fontId="19" fillId="0" borderId="0" xfId="0" applyNumberFormat="1" applyFont="1"/>
    <xf numFmtId="0" fontId="25" fillId="0" borderId="0" xfId="0" applyFont="1" applyFill="1" applyBorder="1" applyAlignment="1">
      <alignment horizontal="center"/>
    </xf>
    <xf numFmtId="38" fontId="25" fillId="0" borderId="16" xfId="1" applyNumberFormat="1" applyFont="1" applyFill="1" applyBorder="1" applyAlignment="1">
      <alignment horizontal="center"/>
    </xf>
    <xf numFmtId="38" fontId="25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38" fontId="8" fillId="0" borderId="9" xfId="1" applyNumberFormat="1" applyFont="1" applyFill="1" applyBorder="1"/>
    <xf numFmtId="0" fontId="40" fillId="0" borderId="0" xfId="0" applyFont="1" applyFill="1" applyBorder="1" applyAlignment="1">
      <alignment horizontal="center"/>
    </xf>
    <xf numFmtId="38" fontId="40" fillId="0" borderId="16" xfId="1" applyNumberFormat="1" applyFont="1" applyFill="1" applyBorder="1" applyAlignment="1">
      <alignment horizontal="center"/>
    </xf>
    <xf numFmtId="38" fontId="40" fillId="0" borderId="0" xfId="0" applyNumberFormat="1" applyFont="1" applyFill="1" applyBorder="1" applyAlignment="1">
      <alignment horizontal="center"/>
    </xf>
    <xf numFmtId="38" fontId="41" fillId="0" borderId="16" xfId="1" applyNumberFormat="1" applyFont="1" applyFill="1" applyBorder="1" applyAlignment="1">
      <alignment horizontal="center"/>
    </xf>
    <xf numFmtId="38" fontId="10" fillId="0" borderId="9" xfId="1" applyNumberFormat="1" applyFont="1" applyFill="1" applyBorder="1"/>
    <xf numFmtId="0" fontId="16" fillId="0" borderId="0" xfId="0" applyFont="1" applyFill="1" applyAlignment="1">
      <alignment horizontal="left" indent="1"/>
    </xf>
    <xf numFmtId="0" fontId="17" fillId="0" borderId="0" xfId="0" applyFont="1" applyFill="1" applyAlignment="1">
      <alignment horizontal="left" indent="1"/>
    </xf>
    <xf numFmtId="38" fontId="16" fillId="0" borderId="1" xfId="1" applyNumberFormat="1" applyFont="1" applyFill="1"/>
    <xf numFmtId="38" fontId="16" fillId="0" borderId="9" xfId="1" applyNumberFormat="1" applyFont="1" applyFill="1" applyBorder="1"/>
    <xf numFmtId="0" fontId="16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/>
    <xf numFmtId="1" fontId="8" fillId="0" borderId="0" xfId="0" applyNumberFormat="1" applyFont="1" applyFill="1"/>
    <xf numFmtId="38" fontId="8" fillId="0" borderId="10" xfId="1" applyNumberFormat="1" applyFont="1" applyFill="1" applyBorder="1"/>
    <xf numFmtId="1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5" fontId="5" fillId="0" borderId="3" xfId="0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167" fontId="5" fillId="0" borderId="12" xfId="2" applyNumberFormat="1" applyFont="1" applyBorder="1" applyAlignment="1">
      <alignment horizontal="center"/>
    </xf>
    <xf numFmtId="167" fontId="5" fillId="0" borderId="0" xfId="2" applyNumberFormat="1" applyFont="1" applyAlignment="1">
      <alignment horizontal="center"/>
    </xf>
    <xf numFmtId="167" fontId="5" fillId="5" borderId="12" xfId="2" applyNumberFormat="1" applyFont="1" applyFill="1" applyBorder="1" applyAlignment="1">
      <alignment horizontal="center"/>
    </xf>
    <xf numFmtId="167" fontId="5" fillId="5" borderId="0" xfId="2" applyNumberFormat="1" applyFont="1" applyFill="1" applyAlignment="1">
      <alignment horizontal="center"/>
    </xf>
    <xf numFmtId="40" fontId="5" fillId="0" borderId="12" xfId="2" applyNumberFormat="1" applyFont="1" applyBorder="1" applyAlignment="1">
      <alignment horizontal="center"/>
    </xf>
    <xf numFmtId="40" fontId="5" fillId="0" borderId="0" xfId="2" applyNumberFormat="1" applyFont="1" applyAlignment="1">
      <alignment horizontal="center"/>
    </xf>
    <xf numFmtId="168" fontId="5" fillId="0" borderId="12" xfId="2" applyNumberFormat="1" applyFont="1" applyBorder="1" applyAlignment="1">
      <alignment horizontal="center"/>
    </xf>
    <xf numFmtId="168" fontId="5" fillId="0" borderId="0" xfId="2" applyNumberFormat="1" applyFont="1" applyAlignment="1">
      <alignment horizontal="center"/>
    </xf>
    <xf numFmtId="169" fontId="5" fillId="0" borderId="12" xfId="2" applyNumberFormat="1" applyFont="1" applyBorder="1" applyAlignment="1">
      <alignment horizontal="center"/>
    </xf>
    <xf numFmtId="169" fontId="5" fillId="0" borderId="0" xfId="2" applyNumberFormat="1" applyFont="1" applyAlignment="1">
      <alignment horizontal="center"/>
    </xf>
    <xf numFmtId="170" fontId="5" fillId="0" borderId="12" xfId="2" applyNumberFormat="1" applyFont="1" applyBorder="1" applyAlignment="1">
      <alignment horizontal="center"/>
    </xf>
    <xf numFmtId="170" fontId="5" fillId="0" borderId="0" xfId="2" applyNumberFormat="1" applyFont="1" applyAlignment="1">
      <alignment horizontal="center"/>
    </xf>
    <xf numFmtId="171" fontId="5" fillId="0" borderId="12" xfId="2" applyNumberFormat="1" applyFont="1" applyBorder="1" applyAlignment="1">
      <alignment horizontal="center"/>
    </xf>
    <xf numFmtId="171" fontId="5" fillId="0" borderId="0" xfId="2" applyNumberFormat="1" applyFont="1" applyAlignment="1">
      <alignment horizontal="center"/>
    </xf>
    <xf numFmtId="9" fontId="8" fillId="0" borderId="9" xfId="2" applyFont="1" applyFill="1" applyBorder="1"/>
    <xf numFmtId="9" fontId="8" fillId="0" borderId="0" xfId="2" applyFont="1" applyFill="1"/>
    <xf numFmtId="38" fontId="6" fillId="0" borderId="0" xfId="0" applyNumberFormat="1" applyFont="1"/>
    <xf numFmtId="9" fontId="4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9" fontId="5" fillId="8" borderId="12" xfId="2" applyNumberFormat="1" applyFont="1" applyFill="1" applyBorder="1" applyAlignment="1">
      <alignment horizontal="center"/>
    </xf>
    <xf numFmtId="0" fontId="5" fillId="8" borderId="0" xfId="0" applyFont="1" applyFill="1"/>
    <xf numFmtId="169" fontId="5" fillId="9" borderId="12" xfId="2" applyNumberFormat="1" applyFont="1" applyFill="1" applyBorder="1" applyAlignment="1">
      <alignment horizontal="center"/>
    </xf>
    <xf numFmtId="0" fontId="5" fillId="9" borderId="0" xfId="0" applyFont="1" applyFill="1"/>
    <xf numFmtId="169" fontId="5" fillId="6" borderId="12" xfId="2" applyNumberFormat="1" applyFont="1" applyFill="1" applyBorder="1" applyAlignment="1">
      <alignment horizontal="center"/>
    </xf>
    <xf numFmtId="0" fontId="5" fillId="6" borderId="0" xfId="0" applyFont="1" applyFill="1"/>
    <xf numFmtId="0" fontId="7" fillId="10" borderId="12" xfId="0" applyFont="1" applyFill="1" applyBorder="1" applyAlignment="1">
      <alignment horizontal="center"/>
    </xf>
    <xf numFmtId="167" fontId="7" fillId="0" borderId="12" xfId="2" applyNumberFormat="1" applyFont="1" applyBorder="1" applyAlignment="1">
      <alignment horizontal="center"/>
    </xf>
    <xf numFmtId="169" fontId="7" fillId="8" borderId="12" xfId="2" applyNumberFormat="1" applyFont="1" applyFill="1" applyBorder="1" applyAlignment="1">
      <alignment horizontal="center"/>
    </xf>
    <xf numFmtId="169" fontId="7" fillId="9" borderId="12" xfId="2" applyNumberFormat="1" applyFont="1" applyFill="1" applyBorder="1" applyAlignment="1">
      <alignment horizontal="center"/>
    </xf>
    <xf numFmtId="169" fontId="7" fillId="6" borderId="12" xfId="2" applyNumberFormat="1" applyFont="1" applyFill="1" applyBorder="1" applyAlignment="1">
      <alignment horizontal="center"/>
    </xf>
    <xf numFmtId="0" fontId="5" fillId="0" borderId="17" xfId="0" applyFont="1" applyBorder="1"/>
    <xf numFmtId="0" fontId="4" fillId="0" borderId="17" xfId="0" applyFont="1" applyFill="1" applyBorder="1" applyAlignment="1">
      <alignment horizontal="center"/>
    </xf>
    <xf numFmtId="0" fontId="7" fillId="0" borderId="17" xfId="0" applyFont="1" applyBorder="1"/>
    <xf numFmtId="38" fontId="5" fillId="0" borderId="17" xfId="0" applyNumberFormat="1" applyFont="1" applyBorder="1"/>
    <xf numFmtId="167" fontId="6" fillId="0" borderId="0" xfId="2" applyNumberFormat="1" applyFont="1" applyAlignment="1"/>
    <xf numFmtId="0" fontId="7" fillId="0" borderId="11" xfId="0" applyFont="1" applyBorder="1"/>
    <xf numFmtId="38" fontId="7" fillId="0" borderId="11" xfId="0" applyNumberFormat="1" applyFont="1" applyBorder="1"/>
    <xf numFmtId="38" fontId="5" fillId="0" borderId="12" xfId="0" applyNumberFormat="1" applyFont="1" applyBorder="1"/>
    <xf numFmtId="0" fontId="5" fillId="0" borderId="12" xfId="0" applyFont="1" applyBorder="1"/>
    <xf numFmtId="38" fontId="7" fillId="0" borderId="0" xfId="0" applyNumberFormat="1" applyFont="1" applyBorder="1"/>
    <xf numFmtId="0" fontId="5" fillId="0" borderId="0" xfId="0" applyFont="1" applyBorder="1" applyAlignment="1">
      <alignment horizontal="left" indent="3"/>
    </xf>
    <xf numFmtId="38" fontId="5" fillId="0" borderId="0" xfId="0" applyNumberFormat="1" applyFont="1" applyBorder="1"/>
    <xf numFmtId="0" fontId="5" fillId="0" borderId="0" xfId="0" applyFont="1" applyBorder="1" applyAlignment="1"/>
    <xf numFmtId="167" fontId="5" fillId="0" borderId="0" xfId="0" applyNumberFormat="1" applyFont="1" applyBorder="1"/>
    <xf numFmtId="164" fontId="5" fillId="0" borderId="0" xfId="0" applyNumberFormat="1" applyFont="1"/>
    <xf numFmtId="2" fontId="5" fillId="0" borderId="0" xfId="0" applyNumberFormat="1" applyFont="1"/>
    <xf numFmtId="172" fontId="5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72" fontId="7" fillId="0" borderId="0" xfId="0" applyNumberFormat="1" applyFont="1" applyAlignment="1">
      <alignment horizontal="center"/>
    </xf>
    <xf numFmtId="172" fontId="5" fillId="0" borderId="0" xfId="0" applyNumberFormat="1" applyFont="1" applyBorder="1"/>
    <xf numFmtId="38" fontId="1" fillId="2" borderId="1" xfId="1" applyNumberFormat="1" applyAlignment="1">
      <alignment horizontal="center"/>
    </xf>
    <xf numFmtId="0" fontId="8" fillId="12" borderId="0" xfId="0" applyFont="1" applyFill="1"/>
    <xf numFmtId="38" fontId="8" fillId="12" borderId="0" xfId="0" applyNumberFormat="1" applyFont="1" applyFill="1"/>
    <xf numFmtId="38" fontId="1" fillId="2" borderId="1" xfId="1" applyNumberFormat="1"/>
    <xf numFmtId="38" fontId="7" fillId="13" borderId="0" xfId="0" applyNumberFormat="1" applyFont="1" applyFill="1"/>
    <xf numFmtId="43" fontId="19" fillId="0" borderId="0" xfId="3" applyFont="1" applyBorder="1" applyAlignment="1">
      <alignment horizontal="center"/>
    </xf>
    <xf numFmtId="0" fontId="45" fillId="0" borderId="0" xfId="0" applyFont="1"/>
    <xf numFmtId="0" fontId="5" fillId="0" borderId="0" xfId="0" applyFont="1" applyAlignment="1">
      <alignment horizontal="left" indent="3"/>
    </xf>
    <xf numFmtId="38" fontId="5" fillId="2" borderId="18" xfId="1" applyNumberFormat="1" applyFont="1" applyBorder="1"/>
    <xf numFmtId="6" fontId="5" fillId="2" borderId="1" xfId="1" applyNumberFormat="1" applyFont="1"/>
    <xf numFmtId="6" fontId="5" fillId="5" borderId="12" xfId="1" applyNumberFormat="1" applyFont="1" applyFill="1" applyBorder="1"/>
    <xf numFmtId="10" fontId="11" fillId="2" borderId="1" xfId="2" applyNumberFormat="1" applyFont="1" applyFill="1" applyBorder="1"/>
    <xf numFmtId="9" fontId="5" fillId="2" borderId="1" xfId="2" applyFont="1" applyFill="1" applyBorder="1"/>
    <xf numFmtId="167" fontId="5" fillId="2" borderId="1" xfId="2" applyNumberFormat="1" applyFont="1" applyFill="1" applyBorder="1"/>
    <xf numFmtId="6" fontId="2" fillId="0" borderId="0" xfId="0" applyNumberFormat="1" applyFont="1" applyBorder="1" applyAlignment="1"/>
    <xf numFmtId="167" fontId="5" fillId="0" borderId="1" xfId="2" applyNumberFormat="1" applyFont="1" applyFill="1" applyBorder="1"/>
    <xf numFmtId="0" fontId="6" fillId="0" borderId="0" xfId="0" applyFont="1" applyAlignment="1"/>
    <xf numFmtId="0" fontId="0" fillId="0" borderId="0" xfId="0" applyAlignment="1">
      <alignment horizontal="left" indent="3"/>
    </xf>
    <xf numFmtId="10" fontId="1" fillId="2" borderId="1" xfId="1" applyNumberFormat="1"/>
    <xf numFmtId="9" fontId="1" fillId="2" borderId="1" xfId="1" applyNumberFormat="1"/>
    <xf numFmtId="38" fontId="5" fillId="0" borderId="19" xfId="1" applyNumberFormat="1" applyFont="1" applyFill="1" applyBorder="1"/>
    <xf numFmtId="0" fontId="6" fillId="0" borderId="0" xfId="0" applyFont="1" applyAlignment="1">
      <alignment horizontal="left" indent="3"/>
    </xf>
    <xf numFmtId="6" fontId="0" fillId="0" borderId="0" xfId="0" applyNumberFormat="1"/>
    <xf numFmtId="38" fontId="5" fillId="0" borderId="20" xfId="1" applyNumberFormat="1" applyFont="1" applyFill="1" applyBorder="1"/>
    <xf numFmtId="38" fontId="5" fillId="0" borderId="21" xfId="1" applyNumberFormat="1" applyFont="1" applyFill="1" applyBorder="1"/>
    <xf numFmtId="40" fontId="11" fillId="0" borderId="0" xfId="0" applyNumberFormat="1" applyFont="1"/>
    <xf numFmtId="0" fontId="5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6" fontId="0" fillId="0" borderId="0" xfId="0" applyNumberFormat="1" applyFont="1"/>
    <xf numFmtId="6" fontId="1" fillId="2" borderId="1" xfId="1" applyNumberFormat="1"/>
    <xf numFmtId="38" fontId="8" fillId="6" borderId="1" xfId="1" applyNumberFormat="1" applyFont="1" applyFill="1" applyBorder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173" fontId="49" fillId="0" borderId="0" xfId="0" applyNumberFormat="1" applyFont="1"/>
    <xf numFmtId="0" fontId="51" fillId="0" borderId="0" xfId="0" applyFont="1"/>
    <xf numFmtId="164" fontId="49" fillId="0" borderId="0" xfId="0" applyNumberFormat="1" applyFont="1"/>
    <xf numFmtId="0" fontId="49" fillId="0" borderId="0" xfId="0" applyFont="1" applyAlignment="1">
      <alignment horizontal="centerContinuous"/>
    </xf>
    <xf numFmtId="0" fontId="0" fillId="9" borderId="24" xfId="0" applyFill="1" applyBorder="1"/>
    <xf numFmtId="0" fontId="2" fillId="9" borderId="25" xfId="0" applyFont="1" applyFill="1" applyBorder="1"/>
    <xf numFmtId="0" fontId="51" fillId="0" borderId="0" xfId="0" applyFont="1" applyAlignment="1">
      <alignment vertical="center"/>
    </xf>
    <xf numFmtId="0" fontId="49" fillId="0" borderId="0" xfId="0" applyFont="1" applyAlignment="1">
      <alignment horizontal="left" indent="1"/>
    </xf>
    <xf numFmtId="0" fontId="0" fillId="9" borderId="27" xfId="0" applyFill="1" applyBorder="1"/>
    <xf numFmtId="0" fontId="2" fillId="9" borderId="28" xfId="0" applyFont="1" applyFill="1" applyBorder="1"/>
    <xf numFmtId="0" fontId="53" fillId="0" borderId="0" xfId="0" applyFont="1"/>
    <xf numFmtId="10" fontId="51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left" indent="2"/>
    </xf>
    <xf numFmtId="173" fontId="2" fillId="0" borderId="0" xfId="0" applyNumberFormat="1" applyFont="1" applyAlignment="1">
      <alignment horizontal="center"/>
    </xf>
    <xf numFmtId="0" fontId="49" fillId="0" borderId="0" xfId="0" applyFont="1" applyAlignment="1">
      <alignment horizontal="center"/>
    </xf>
    <xf numFmtId="0" fontId="0" fillId="0" borderId="11" xfId="0" applyBorder="1"/>
    <xf numFmtId="0" fontId="49" fillId="0" borderId="0" xfId="0" quotePrefix="1" applyFont="1"/>
    <xf numFmtId="0" fontId="2" fillId="0" borderId="11" xfId="0" applyFont="1" applyBorder="1"/>
    <xf numFmtId="0" fontId="55" fillId="0" borderId="0" xfId="0" applyFont="1"/>
    <xf numFmtId="0" fontId="2" fillId="0" borderId="0" xfId="0" applyFont="1" applyBorder="1"/>
    <xf numFmtId="0" fontId="2" fillId="0" borderId="0" xfId="0" applyFont="1" applyAlignment="1">
      <alignment horizontal="right"/>
    </xf>
    <xf numFmtId="0" fontId="49" fillId="0" borderId="0" xfId="0" applyFont="1" applyAlignment="1">
      <alignment horizontal="left" indent="3"/>
    </xf>
    <xf numFmtId="168" fontId="50" fillId="0" borderId="0" xfId="0" applyNumberFormat="1" applyFont="1"/>
    <xf numFmtId="168" fontId="49" fillId="0" borderId="0" xfId="0" applyNumberFormat="1" applyFont="1"/>
    <xf numFmtId="0" fontId="0" fillId="0" borderId="24" xfId="0" applyBorder="1" applyAlignment="1">
      <alignment horizontal="center"/>
    </xf>
    <xf numFmtId="6" fontId="0" fillId="0" borderId="24" xfId="0" applyNumberFormat="1" applyBorder="1" applyAlignment="1">
      <alignment horizontal="center"/>
    </xf>
    <xf numFmtId="0" fontId="0" fillId="0" borderId="24" xfId="0" applyBorder="1"/>
    <xf numFmtId="0" fontId="57" fillId="0" borderId="0" xfId="0" applyFont="1" applyAlignment="1"/>
    <xf numFmtId="10" fontId="57" fillId="0" borderId="0" xfId="0" applyNumberFormat="1" applyFont="1" applyAlignment="1">
      <alignment horizontal="center"/>
    </xf>
    <xf numFmtId="173" fontId="2" fillId="15" borderId="29" xfId="0" applyNumberFormat="1" applyFont="1" applyFill="1" applyBorder="1" applyAlignment="1">
      <alignment horizontal="center"/>
    </xf>
    <xf numFmtId="0" fontId="50" fillId="0" borderId="29" xfId="0" applyFont="1" applyBorder="1"/>
    <xf numFmtId="168" fontId="50" fillId="0" borderId="29" xfId="0" applyNumberFormat="1" applyFont="1" applyBorder="1" applyAlignment="1">
      <alignment horizontal="center"/>
    </xf>
    <xf numFmtId="6" fontId="58" fillId="2" borderId="1" xfId="1" applyNumberFormat="1" applyFont="1" applyAlignment="1">
      <alignment horizontal="center"/>
    </xf>
    <xf numFmtId="2" fontId="0" fillId="16" borderId="30" xfId="0" applyNumberFormat="1" applyFill="1" applyBorder="1" applyAlignment="1">
      <alignment horizontal="center"/>
    </xf>
    <xf numFmtId="0" fontId="0" fillId="16" borderId="15" xfId="0" applyFill="1" applyBorder="1" applyAlignment="1">
      <alignment horizontal="centerContinuous"/>
    </xf>
    <xf numFmtId="0" fontId="0" fillId="16" borderId="31" xfId="0" applyFill="1" applyBorder="1" applyAlignment="1">
      <alignment horizontal="centerContinuous"/>
    </xf>
    <xf numFmtId="0" fontId="59" fillId="0" borderId="0" xfId="0" applyFont="1" applyFill="1" applyAlignment="1"/>
    <xf numFmtId="6" fontId="0" fillId="0" borderId="0" xfId="0" applyNumberFormat="1" applyAlignment="1">
      <alignment horizontal="center"/>
    </xf>
    <xf numFmtId="168" fontId="50" fillId="0" borderId="0" xfId="0" applyNumberFormat="1" applyFont="1" applyAlignment="1">
      <alignment horizontal="center"/>
    </xf>
    <xf numFmtId="168" fontId="49" fillId="0" borderId="0" xfId="0" applyNumberFormat="1" applyFont="1" applyAlignment="1">
      <alignment horizontal="center"/>
    </xf>
    <xf numFmtId="0" fontId="60" fillId="0" borderId="0" xfId="0" applyFont="1"/>
    <xf numFmtId="0" fontId="49" fillId="0" borderId="0" xfId="0" applyFont="1" applyBorder="1" applyAlignment="1">
      <alignment horizontal="centerContinuous"/>
    </xf>
    <xf numFmtId="2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1" fillId="0" borderId="0" xfId="0" applyFont="1"/>
    <xf numFmtId="40" fontId="53" fillId="0" borderId="0" xfId="0" applyNumberFormat="1" applyFont="1"/>
    <xf numFmtId="0" fontId="62" fillId="0" borderId="0" xfId="0" applyFont="1" applyAlignment="1">
      <alignment horizontal="center"/>
    </xf>
    <xf numFmtId="0" fontId="63" fillId="0" borderId="0" xfId="0" applyFont="1" applyFill="1" applyAlignment="1"/>
    <xf numFmtId="9" fontId="49" fillId="0" borderId="0" xfId="2" applyFont="1"/>
    <xf numFmtId="0" fontId="60" fillId="0" borderId="0" xfId="0" applyFont="1" applyAlignment="1">
      <alignment horizontal="center"/>
    </xf>
    <xf numFmtId="0" fontId="49" fillId="0" borderId="11" xfId="0" applyFont="1" applyBorder="1" applyAlignment="1">
      <alignment horizontal="center"/>
    </xf>
    <xf numFmtId="0" fontId="49" fillId="0" borderId="11" xfId="0" applyFont="1" applyBorder="1"/>
    <xf numFmtId="0" fontId="65" fillId="0" borderId="0" xfId="0" applyFont="1"/>
    <xf numFmtId="0" fontId="62" fillId="0" borderId="0" xfId="0" applyFont="1" applyAlignment="1">
      <alignment horizontal="center" vertical="top"/>
    </xf>
    <xf numFmtId="0" fontId="67" fillId="0" borderId="0" xfId="0" applyFont="1"/>
    <xf numFmtId="6" fontId="2" fillId="0" borderId="0" xfId="0" applyNumberFormat="1" applyFont="1" applyAlignment="1">
      <alignment horizontal="center"/>
    </xf>
    <xf numFmtId="173" fontId="0" fillId="0" borderId="11" xfId="0" applyNumberFormat="1" applyBorder="1" applyAlignment="1">
      <alignment horizontal="center"/>
    </xf>
    <xf numFmtId="6" fontId="1" fillId="2" borderId="1" xfId="1" applyNumberFormat="1" applyAlignment="1">
      <alignment horizontal="center"/>
    </xf>
    <xf numFmtId="0" fontId="5" fillId="0" borderId="11" xfId="0" applyFont="1" applyBorder="1"/>
    <xf numFmtId="2" fontId="0" fillId="0" borderId="11" xfId="0" applyNumberFormat="1" applyFont="1" applyBorder="1" applyAlignment="1">
      <alignment horizontal="center"/>
    </xf>
    <xf numFmtId="174" fontId="0" fillId="0" borderId="11" xfId="0" applyNumberFormat="1" applyFont="1" applyBorder="1" applyAlignment="1">
      <alignment horizontal="center"/>
    </xf>
    <xf numFmtId="174" fontId="0" fillId="0" borderId="11" xfId="0" applyNumberFormat="1" applyBorder="1" applyAlignment="1">
      <alignment horizontal="center"/>
    </xf>
    <xf numFmtId="0" fontId="53" fillId="0" borderId="0" xfId="0" applyFont="1" applyAlignment="1">
      <alignment horizontal="center"/>
    </xf>
    <xf numFmtId="173" fontId="0" fillId="0" borderId="0" xfId="0" applyNumberFormat="1" applyAlignment="1">
      <alignment horizontal="center"/>
    </xf>
    <xf numFmtId="0" fontId="70" fillId="0" borderId="0" xfId="0" applyFont="1"/>
    <xf numFmtId="0" fontId="47" fillId="0" borderId="11" xfId="0" applyFont="1" applyBorder="1" applyAlignment="1">
      <alignment horizontal="centerContinuous" vertical="center"/>
    </xf>
    <xf numFmtId="0" fontId="50" fillId="0" borderId="11" xfId="0" applyFont="1" applyBorder="1" applyAlignment="1">
      <alignment horizontal="centerContinuous"/>
    </xf>
    <xf numFmtId="0" fontId="49" fillId="0" borderId="11" xfId="0" applyFont="1" applyBorder="1" applyAlignment="1">
      <alignment horizontal="centerContinuous"/>
    </xf>
    <xf numFmtId="0" fontId="71" fillId="0" borderId="0" xfId="0" applyFont="1"/>
    <xf numFmtId="0" fontId="72" fillId="0" borderId="0" xfId="0" applyFont="1"/>
    <xf numFmtId="0" fontId="73" fillId="0" borderId="0" xfId="0" applyFont="1" applyAlignment="1">
      <alignment horizontal="center" vertical="center"/>
    </xf>
    <xf numFmtId="0" fontId="42" fillId="0" borderId="0" xfId="0" applyFont="1"/>
    <xf numFmtId="14" fontId="6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Continuous"/>
    </xf>
    <xf numFmtId="0" fontId="55" fillId="0" borderId="11" xfId="0" applyFont="1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7" fillId="0" borderId="11" xfId="0" applyFont="1" applyBorder="1" applyAlignment="1">
      <alignment horizontal="center"/>
    </xf>
    <xf numFmtId="0" fontId="74" fillId="0" borderId="0" xfId="0" applyFont="1"/>
    <xf numFmtId="0" fontId="75" fillId="0" borderId="0" xfId="0" applyFont="1"/>
    <xf numFmtId="0" fontId="76" fillId="0" borderId="0" xfId="0" applyFont="1"/>
    <xf numFmtId="0" fontId="77" fillId="0" borderId="0" xfId="0" applyFont="1"/>
    <xf numFmtId="167" fontId="0" fillId="0" borderId="0" xfId="2" applyNumberFormat="1" applyFont="1"/>
    <xf numFmtId="0" fontId="52" fillId="0" borderId="0" xfId="0" applyFont="1"/>
    <xf numFmtId="0" fontId="51" fillId="0" borderId="0" xfId="0" applyFont="1" applyAlignment="1">
      <alignment horizontal="center" wrapText="1"/>
    </xf>
    <xf numFmtId="176" fontId="51" fillId="0" borderId="0" xfId="0" applyNumberFormat="1" applyFont="1" applyAlignment="1">
      <alignment horizontal="center" wrapText="1"/>
    </xf>
    <xf numFmtId="167" fontId="51" fillId="0" borderId="0" xfId="2" applyNumberFormat="1" applyFont="1" applyAlignment="1">
      <alignment horizontal="center" wrapText="1"/>
    </xf>
    <xf numFmtId="167" fontId="0" fillId="19" borderId="7" xfId="2" applyNumberFormat="1" applyFont="1" applyFill="1" applyBorder="1" applyAlignment="1">
      <alignment horizontal="centerContinuous"/>
    </xf>
    <xf numFmtId="167" fontId="0" fillId="19" borderId="5" xfId="2" applyNumberFormat="1" applyFont="1" applyFill="1" applyBorder="1" applyAlignment="1">
      <alignment horizontal="centerContinuous"/>
    </xf>
    <xf numFmtId="0" fontId="0" fillId="12" borderId="6" xfId="0" applyFill="1" applyBorder="1" applyAlignment="1">
      <alignment horizontal="centerContinuous"/>
    </xf>
    <xf numFmtId="0" fontId="0" fillId="12" borderId="5" xfId="0" applyFill="1" applyBorder="1" applyAlignment="1">
      <alignment horizontal="centerContinuous"/>
    </xf>
    <xf numFmtId="0" fontId="0" fillId="11" borderId="6" xfId="0" applyFill="1" applyBorder="1" applyAlignment="1">
      <alignment horizontal="centerContinuous"/>
    </xf>
    <xf numFmtId="0" fontId="0" fillId="11" borderId="5" xfId="0" applyFill="1" applyBorder="1" applyAlignment="1">
      <alignment horizontal="centerContinuous"/>
    </xf>
    <xf numFmtId="167" fontId="0" fillId="9" borderId="7" xfId="2" applyNumberFormat="1" applyFont="1" applyFill="1" applyBorder="1" applyAlignment="1">
      <alignment horizontal="centerContinuous"/>
    </xf>
    <xf numFmtId="167" fontId="0" fillId="9" borderId="5" xfId="2" applyNumberFormat="1" applyFont="1" applyFill="1" applyBorder="1" applyAlignment="1">
      <alignment horizontal="centerContinuous"/>
    </xf>
    <xf numFmtId="0" fontId="0" fillId="6" borderId="7" xfId="0" applyFill="1" applyBorder="1" applyAlignment="1">
      <alignment horizontal="centerContinuous"/>
    </xf>
    <xf numFmtId="0" fontId="0" fillId="6" borderId="6" xfId="0" applyFill="1" applyBorder="1" applyAlignment="1">
      <alignment horizontal="centerContinuous"/>
    </xf>
    <xf numFmtId="0" fontId="0" fillId="6" borderId="5" xfId="0" applyFill="1" applyBorder="1" applyAlignment="1">
      <alignment horizontal="centerContinuous"/>
    </xf>
    <xf numFmtId="0" fontId="78" fillId="0" borderId="0" xfId="0" applyFont="1" applyAlignment="1">
      <alignment horizontal="center"/>
    </xf>
    <xf numFmtId="37" fontId="4" fillId="0" borderId="8" xfId="1" applyNumberFormat="1" applyFont="1" applyFill="1" applyBorder="1" applyAlignment="1">
      <alignment horizontal="center"/>
    </xf>
    <xf numFmtId="38" fontId="79" fillId="0" borderId="0" xfId="0" applyNumberFormat="1" applyFont="1"/>
    <xf numFmtId="0" fontId="80" fillId="0" borderId="0" xfId="0" applyFont="1"/>
    <xf numFmtId="38" fontId="49" fillId="0" borderId="0" xfId="0" applyNumberFormat="1" applyFont="1"/>
    <xf numFmtId="1" fontId="0" fillId="4" borderId="4" xfId="0" applyNumberFormat="1" applyFill="1" applyBorder="1" applyAlignment="1">
      <alignment horizontal="center"/>
    </xf>
    <xf numFmtId="1" fontId="0" fillId="4" borderId="7" xfId="0" applyNumberFormat="1" applyFill="1" applyBorder="1" applyAlignment="1">
      <alignment horizontal="center"/>
    </xf>
    <xf numFmtId="40" fontId="5" fillId="0" borderId="0" xfId="0" applyNumberFormat="1" applyFont="1"/>
    <xf numFmtId="165" fontId="5" fillId="0" borderId="0" xfId="0" applyNumberFormat="1" applyFont="1"/>
    <xf numFmtId="6" fontId="5" fillId="0" borderId="0" xfId="0" applyNumberFormat="1" applyFont="1"/>
    <xf numFmtId="164" fontId="0" fillId="0" borderId="0" xfId="0" applyNumberFormat="1"/>
    <xf numFmtId="0" fontId="5" fillId="0" borderId="0" xfId="0" quotePrefix="1" applyFont="1"/>
    <xf numFmtId="0" fontId="0" fillId="0" borderId="0" xfId="0" applyNumberFormat="1"/>
    <xf numFmtId="0" fontId="5" fillId="0" borderId="0" xfId="0" applyNumberFormat="1" applyFont="1"/>
    <xf numFmtId="9" fontId="5" fillId="2" borderId="18" xfId="2" applyNumberFormat="1" applyFont="1" applyFill="1" applyBorder="1" applyAlignment="1">
      <alignment horizontal="center"/>
    </xf>
    <xf numFmtId="38" fontId="5" fillId="2" borderId="18" xfId="1" applyNumberFormat="1" applyFont="1" applyBorder="1" applyAlignment="1">
      <alignment horizontal="center"/>
    </xf>
    <xf numFmtId="167" fontId="5" fillId="2" borderId="18" xfId="2" applyNumberFormat="1" applyFont="1" applyFill="1" applyBorder="1" applyAlignment="1">
      <alignment horizontal="center"/>
    </xf>
    <xf numFmtId="0" fontId="81" fillId="6" borderId="13" xfId="0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/>
    </xf>
    <xf numFmtId="0" fontId="81" fillId="6" borderId="14" xfId="0" applyFont="1" applyFill="1" applyBorder="1" applyAlignment="1">
      <alignment horizontal="center"/>
    </xf>
    <xf numFmtId="38" fontId="5" fillId="6" borderId="13" xfId="0" applyNumberFormat="1" applyFont="1" applyFill="1" applyBorder="1" applyAlignment="1">
      <alignment horizontal="center"/>
    </xf>
    <xf numFmtId="0" fontId="68" fillId="0" borderId="0" xfId="0" applyFont="1" applyAlignment="1">
      <alignment horizontal="center"/>
    </xf>
    <xf numFmtId="0" fontId="65" fillId="0" borderId="0" xfId="0" applyFont="1" applyAlignment="1">
      <alignment horizontal="center"/>
    </xf>
    <xf numFmtId="167" fontId="49" fillId="0" borderId="0" xfId="0" applyNumberFormat="1" applyFont="1" applyAlignment="1">
      <alignment horizontal="center"/>
    </xf>
    <xf numFmtId="0" fontId="50" fillId="0" borderId="29" xfId="0" applyFont="1" applyBorder="1" applyAlignment="1">
      <alignment horizontal="center"/>
    </xf>
    <xf numFmtId="0" fontId="49" fillId="0" borderId="0" xfId="0" applyFont="1" applyBorder="1" applyAlignment="1"/>
    <xf numFmtId="6" fontId="49" fillId="15" borderId="0" xfId="0" applyNumberFormat="1" applyFont="1" applyFill="1"/>
    <xf numFmtId="0" fontId="49" fillId="0" borderId="0" xfId="0" applyFont="1" applyAlignment="1"/>
    <xf numFmtId="37" fontId="82" fillId="0" borderId="27" xfId="1" applyNumberFormat="1" applyFont="1" applyFill="1" applyBorder="1" applyAlignment="1">
      <alignment horizontal="center"/>
    </xf>
    <xf numFmtId="0" fontId="2" fillId="0" borderId="15" xfId="0" applyFont="1" applyBorder="1"/>
    <xf numFmtId="0" fontId="0" fillId="0" borderId="15" xfId="0" applyBorder="1"/>
    <xf numFmtId="0" fontId="83" fillId="0" borderId="0" xfId="0" applyFont="1" applyAlignment="1"/>
    <xf numFmtId="173" fontId="2" fillId="0" borderId="0" xfId="0" applyNumberFormat="1" applyFont="1" applyAlignment="1"/>
    <xf numFmtId="173" fontId="2" fillId="0" borderId="11" xfId="0" applyNumberFormat="1" applyFont="1" applyBorder="1" applyAlignment="1"/>
    <xf numFmtId="173" fontId="2" fillId="0" borderId="15" xfId="0" applyNumberFormat="1" applyFont="1" applyBorder="1" applyAlignment="1"/>
    <xf numFmtId="173" fontId="2" fillId="15" borderId="26" xfId="0" applyNumberFormat="1" applyFont="1" applyFill="1" applyBorder="1" applyAlignment="1"/>
    <xf numFmtId="173" fontId="2" fillId="15" borderId="23" xfId="0" applyNumberFormat="1" applyFont="1" applyFill="1" applyBorder="1" applyAlignment="1"/>
    <xf numFmtId="177" fontId="49" fillId="6" borderId="0" xfId="2" applyNumberFormat="1" applyFont="1" applyFill="1"/>
    <xf numFmtId="0" fontId="49" fillId="0" borderId="0" xfId="0" applyNumberFormat="1" applyFont="1"/>
    <xf numFmtId="6" fontId="50" fillId="0" borderId="0" xfId="0" applyNumberFormat="1" applyFont="1"/>
    <xf numFmtId="0" fontId="47" fillId="0" borderId="0" xfId="0" applyFont="1" applyAlignment="1">
      <alignment horizontal="left" indent="2"/>
    </xf>
    <xf numFmtId="178" fontId="49" fillId="6" borderId="0" xfId="2" applyNumberFormat="1" applyFont="1" applyFill="1"/>
    <xf numFmtId="0" fontId="86" fillId="0" borderId="0" xfId="0" applyFont="1"/>
    <xf numFmtId="0" fontId="86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164" fontId="86" fillId="0" borderId="0" xfId="0" applyNumberFormat="1" applyFont="1"/>
    <xf numFmtId="0" fontId="87" fillId="0" borderId="0" xfId="0" applyFont="1"/>
    <xf numFmtId="0" fontId="50" fillId="0" borderId="0" xfId="0" applyFont="1" applyAlignment="1">
      <alignment horizontal="left"/>
    </xf>
    <xf numFmtId="38" fontId="5" fillId="0" borderId="12" xfId="0" applyNumberFormat="1" applyFont="1" applyFill="1" applyBorder="1"/>
    <xf numFmtId="38" fontId="5" fillId="16" borderId="12" xfId="0" applyNumberFormat="1" applyFont="1" applyFill="1" applyBorder="1"/>
    <xf numFmtId="0" fontId="0" fillId="0" borderId="0" xfId="0" applyFont="1" applyAlignment="1">
      <alignment horizontal="center"/>
    </xf>
    <xf numFmtId="6" fontId="49" fillId="0" borderId="0" xfId="0" applyNumberFormat="1" applyFont="1"/>
    <xf numFmtId="0" fontId="55" fillId="17" borderId="0" xfId="0" applyFont="1" applyFill="1"/>
    <xf numFmtId="38" fontId="55" fillId="17" borderId="0" xfId="0" applyNumberFormat="1" applyFont="1" applyFill="1" applyAlignment="1">
      <alignment horizontal="center"/>
    </xf>
    <xf numFmtId="0" fontId="55" fillId="17" borderId="0" xfId="0" applyFont="1" applyFill="1" applyAlignment="1">
      <alignment horizontal="center"/>
    </xf>
    <xf numFmtId="167" fontId="55" fillId="17" borderId="0" xfId="2" applyNumberFormat="1" applyFont="1" applyFill="1" applyAlignment="1">
      <alignment horizontal="center"/>
    </xf>
    <xf numFmtId="0" fontId="55" fillId="13" borderId="0" xfId="0" applyFont="1" applyFill="1"/>
    <xf numFmtId="38" fontId="55" fillId="13" borderId="0" xfId="0" applyNumberFormat="1" applyFont="1" applyFill="1" applyAlignment="1">
      <alignment horizontal="center"/>
    </xf>
    <xf numFmtId="0" fontId="55" fillId="13" borderId="0" xfId="0" applyFont="1" applyFill="1" applyAlignment="1">
      <alignment horizontal="center"/>
    </xf>
    <xf numFmtId="167" fontId="55" fillId="13" borderId="0" xfId="2" applyNumberFormat="1" applyFont="1" applyFill="1" applyAlignment="1">
      <alignment horizontal="center"/>
    </xf>
    <xf numFmtId="0" fontId="88" fillId="0" borderId="0" xfId="0" applyFont="1"/>
    <xf numFmtId="0" fontId="89" fillId="0" borderId="15" xfId="0" applyFont="1" applyBorder="1" applyAlignment="1">
      <alignment horizontal="center"/>
    </xf>
    <xf numFmtId="164" fontId="89" fillId="16" borderId="15" xfId="0" applyNumberFormat="1" applyFont="1" applyFill="1" applyBorder="1" applyAlignment="1">
      <alignment horizontal="center"/>
    </xf>
    <xf numFmtId="164" fontId="88" fillId="0" borderId="0" xfId="0" applyNumberFormat="1" applyFont="1"/>
    <xf numFmtId="164" fontId="90" fillId="0" borderId="15" xfId="0" applyNumberFormat="1" applyFont="1" applyBorder="1" applyAlignment="1">
      <alignment horizontal="center"/>
    </xf>
    <xf numFmtId="0" fontId="85" fillId="0" borderId="0" xfId="0" applyFont="1"/>
    <xf numFmtId="0" fontId="90" fillId="0" borderId="0" xfId="0" applyFont="1" applyAlignment="1">
      <alignment horizontal="center"/>
    </xf>
    <xf numFmtId="0" fontId="91" fillId="0" borderId="0" xfId="0" applyFont="1" applyAlignment="1">
      <alignment horizontal="center"/>
    </xf>
    <xf numFmtId="38" fontId="2" fillId="0" borderId="0" xfId="0" applyNumberFormat="1" applyFont="1" applyBorder="1" applyAlignment="1">
      <alignment horizontal="center"/>
    </xf>
    <xf numFmtId="38" fontId="11" fillId="0" borderId="0" xfId="1" applyNumberFormat="1" applyFont="1" applyFill="1" applyBorder="1"/>
    <xf numFmtId="164" fontId="90" fillId="0" borderId="15" xfId="0" applyNumberFormat="1" applyFont="1" applyBorder="1" applyAlignment="1">
      <alignment horizontal="right"/>
    </xf>
    <xf numFmtId="0" fontId="93" fillId="0" borderId="0" xfId="0" applyFont="1"/>
    <xf numFmtId="0" fontId="94" fillId="0" borderId="0" xfId="0" applyFont="1"/>
    <xf numFmtId="0" fontId="95" fillId="0" borderId="0" xfId="0" applyFont="1"/>
    <xf numFmtId="0" fontId="96" fillId="0" borderId="0" xfId="0" applyFont="1"/>
    <xf numFmtId="0" fontId="97" fillId="0" borderId="0" xfId="0" applyFont="1"/>
    <xf numFmtId="0" fontId="98" fillId="0" borderId="0" xfId="0" applyFont="1"/>
    <xf numFmtId="0" fontId="44" fillId="0" borderId="0" xfId="0" applyFont="1" applyAlignment="1">
      <alignment horizontal="center"/>
    </xf>
    <xf numFmtId="38" fontId="5" fillId="15" borderId="4" xfId="0" applyNumberFormat="1" applyFont="1" applyFill="1" applyBorder="1" applyAlignment="1">
      <alignment horizontal="center"/>
    </xf>
    <xf numFmtId="38" fontId="5" fillId="7" borderId="4" xfId="0" applyNumberFormat="1" applyFont="1" applyFill="1" applyBorder="1" applyAlignment="1">
      <alignment horizontal="center"/>
    </xf>
    <xf numFmtId="175" fontId="11" fillId="0" borderId="0" xfId="0" applyNumberFormat="1" applyFont="1" applyAlignment="1">
      <alignment horizontal="left"/>
    </xf>
    <xf numFmtId="38" fontId="5" fillId="0" borderId="0" xfId="0" applyNumberFormat="1" applyFont="1" applyAlignment="1">
      <alignment horizontal="center"/>
    </xf>
    <xf numFmtId="38" fontId="5" fillId="0" borderId="12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Continuous"/>
    </xf>
    <xf numFmtId="0" fontId="99" fillId="0" borderId="0" xfId="0" applyFont="1" applyFill="1" applyBorder="1" applyAlignment="1"/>
    <xf numFmtId="0" fontId="99" fillId="0" borderId="0" xfId="0" applyFont="1" applyFill="1"/>
    <xf numFmtId="38" fontId="99" fillId="0" borderId="8" xfId="1" applyNumberFormat="1" applyFont="1" applyFill="1" applyBorder="1" applyAlignment="1">
      <alignment horizontal="center"/>
    </xf>
    <xf numFmtId="0" fontId="100" fillId="0" borderId="0" xfId="0" applyFont="1"/>
    <xf numFmtId="0" fontId="100" fillId="0" borderId="0" xfId="0" applyFont="1" applyFill="1"/>
    <xf numFmtId="0" fontId="100" fillId="0" borderId="0" xfId="0" applyFont="1" applyFill="1" applyBorder="1" applyAlignment="1"/>
    <xf numFmtId="38" fontId="99" fillId="0" borderId="0" xfId="0" applyNumberFormat="1" applyFont="1" applyFill="1" applyAlignment="1">
      <alignment horizontal="center"/>
    </xf>
    <xf numFmtId="38" fontId="99" fillId="0" borderId="0" xfId="1" applyNumberFormat="1" applyFont="1" applyFill="1" applyBorder="1" applyAlignment="1">
      <alignment horizontal="center"/>
    </xf>
    <xf numFmtId="0" fontId="101" fillId="0" borderId="0" xfId="0" applyFont="1" applyFill="1"/>
    <xf numFmtId="0" fontId="101" fillId="0" borderId="0" xfId="0" applyFont="1"/>
    <xf numFmtId="179" fontId="0" fillId="0" borderId="0" xfId="0" applyNumberFormat="1"/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167" fontId="3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left" indent="2"/>
    </xf>
    <xf numFmtId="0" fontId="8" fillId="0" borderId="0" xfId="0" applyFont="1" applyFill="1" applyBorder="1" applyAlignment="1">
      <alignment horizontal="left" indent="1"/>
    </xf>
    <xf numFmtId="0" fontId="50" fillId="0" borderId="0" xfId="0" applyFont="1" applyAlignment="1"/>
    <xf numFmtId="6" fontId="49" fillId="15" borderId="28" xfId="0" applyNumberFormat="1" applyFont="1" applyFill="1" applyBorder="1" applyAlignment="1">
      <alignment horizontal="center"/>
    </xf>
    <xf numFmtId="8" fontId="49" fillId="15" borderId="32" xfId="0" applyNumberFormat="1" applyFont="1" applyFill="1" applyBorder="1" applyAlignment="1">
      <alignment horizontal="center"/>
    </xf>
    <xf numFmtId="6" fontId="49" fillId="15" borderId="33" xfId="0" applyNumberFormat="1" applyFont="1" applyFill="1" applyBorder="1" applyAlignment="1">
      <alignment horizontal="center"/>
    </xf>
    <xf numFmtId="8" fontId="49" fillId="15" borderId="34" xfId="0" applyNumberFormat="1" applyFont="1" applyFill="1" applyBorder="1" applyAlignment="1">
      <alignment horizontal="center"/>
    </xf>
    <xf numFmtId="6" fontId="49" fillId="15" borderId="25" xfId="0" applyNumberFormat="1" applyFont="1" applyFill="1" applyBorder="1" applyAlignment="1">
      <alignment horizontal="center"/>
    </xf>
    <xf numFmtId="8" fontId="49" fillId="15" borderId="35" xfId="0" applyNumberFormat="1" applyFont="1" applyFill="1" applyBorder="1" applyAlignment="1">
      <alignment horizontal="center"/>
    </xf>
    <xf numFmtId="10" fontId="55" fillId="0" borderId="0" xfId="0" applyNumberFormat="1" applyFont="1" applyBorder="1" applyAlignment="1">
      <alignment horizontal="center"/>
    </xf>
    <xf numFmtId="0" fontId="55" fillId="0" borderId="0" xfId="0" applyFont="1" applyBorder="1"/>
    <xf numFmtId="0" fontId="102" fillId="0" borderId="0" xfId="0" applyFont="1" applyBorder="1" applyAlignment="1"/>
    <xf numFmtId="0" fontId="51" fillId="13" borderId="31" xfId="0" applyFont="1" applyFill="1" applyBorder="1" applyAlignment="1">
      <alignment vertical="center"/>
    </xf>
    <xf numFmtId="0" fontId="51" fillId="13" borderId="15" xfId="0" applyFont="1" applyFill="1" applyBorder="1"/>
    <xf numFmtId="10" fontId="51" fillId="13" borderId="15" xfId="0" applyNumberFormat="1" applyFont="1" applyFill="1" applyBorder="1" applyAlignment="1">
      <alignment horizontal="center" vertical="center"/>
    </xf>
    <xf numFmtId="0" fontId="51" fillId="13" borderId="15" xfId="0" applyFont="1" applyFill="1" applyBorder="1" applyAlignment="1">
      <alignment vertical="center"/>
    </xf>
    <xf numFmtId="0" fontId="51" fillId="13" borderId="30" xfId="0" applyFont="1" applyFill="1" applyBorder="1"/>
    <xf numFmtId="0" fontId="35" fillId="0" borderId="0" xfId="0" applyFont="1" applyAlignment="1">
      <alignment horizontal="right"/>
    </xf>
    <xf numFmtId="39" fontId="0" fillId="0" borderId="0" xfId="4" applyNumberFormat="1" applyFont="1" applyFill="1" applyBorder="1" applyAlignment="1">
      <alignment horizontal="center"/>
    </xf>
    <xf numFmtId="0" fontId="0" fillId="0" borderId="0" xfId="0" applyFont="1"/>
    <xf numFmtId="38" fontId="73" fillId="0" borderId="0" xfId="0" applyNumberFormat="1" applyFont="1" applyBorder="1" applyAlignment="1">
      <alignment horizontal="center"/>
    </xf>
    <xf numFmtId="10" fontId="0" fillId="0" borderId="0" xfId="4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9" fontId="0" fillId="0" borderId="0" xfId="0" applyNumberFormat="1" applyFont="1" applyBorder="1" applyAlignment="1">
      <alignment horizontal="center"/>
    </xf>
    <xf numFmtId="9" fontId="73" fillId="0" borderId="0" xfId="0" applyNumberFormat="1" applyFont="1" applyBorder="1" applyAlignment="1">
      <alignment horizontal="center"/>
    </xf>
    <xf numFmtId="168" fontId="0" fillId="0" borderId="0" xfId="0" applyNumberFormat="1" applyFont="1" applyAlignment="1">
      <alignment horizontal="center"/>
    </xf>
    <xf numFmtId="10" fontId="18" fillId="7" borderId="7" xfId="0" applyNumberFormat="1" applyFont="1" applyFill="1" applyBorder="1" applyAlignment="1"/>
    <xf numFmtId="10" fontId="10" fillId="17" borderId="15" xfId="0" applyNumberFormat="1" applyFont="1" applyFill="1" applyBorder="1" applyAlignment="1"/>
    <xf numFmtId="10" fontId="0" fillId="0" borderId="0" xfId="0" applyNumberFormat="1" applyFont="1" applyBorder="1" applyAlignment="1">
      <alignment horizontal="center"/>
    </xf>
    <xf numFmtId="10" fontId="73" fillId="0" borderId="0" xfId="0" applyNumberFormat="1" applyFont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38" fontId="0" fillId="0" borderId="0" xfId="0" applyNumberFormat="1" applyFont="1" applyFill="1" applyBorder="1" applyAlignment="1">
      <alignment horizontal="center"/>
    </xf>
    <xf numFmtId="38" fontId="0" fillId="0" borderId="0" xfId="0" applyNumberFormat="1" applyFont="1" applyBorder="1" applyAlignment="1">
      <alignment horizontal="center"/>
    </xf>
    <xf numFmtId="38" fontId="73" fillId="0" borderId="0" xfId="0" applyNumberFormat="1" applyFont="1" applyFill="1" applyBorder="1" applyAlignment="1">
      <alignment horizontal="center"/>
    </xf>
    <xf numFmtId="10" fontId="10" fillId="17" borderId="30" xfId="0" applyNumberFormat="1" applyFont="1" applyFill="1" applyBorder="1" applyAlignment="1">
      <alignment horizontal="center"/>
    </xf>
    <xf numFmtId="10" fontId="36" fillId="18" borderId="30" xfId="0" applyNumberFormat="1" applyFont="1" applyFill="1" applyBorder="1" applyAlignment="1">
      <alignment horizontal="center"/>
    </xf>
    <xf numFmtId="0" fontId="2" fillId="0" borderId="0" xfId="0" applyFont="1" applyAlignment="1"/>
    <xf numFmtId="0" fontId="106" fillId="0" borderId="36" xfId="0" applyFont="1" applyBorder="1"/>
    <xf numFmtId="0" fontId="49" fillId="0" borderId="36" xfId="0" applyFont="1" applyBorder="1"/>
    <xf numFmtId="0" fontId="0" fillId="0" borderId="36" xfId="0" applyFont="1" applyBorder="1"/>
    <xf numFmtId="0" fontId="107" fillId="0" borderId="37" xfId="0" applyFont="1" applyBorder="1"/>
    <xf numFmtId="0" fontId="0" fillId="0" borderId="37" xfId="0" applyFont="1" applyBorder="1"/>
    <xf numFmtId="0" fontId="49" fillId="0" borderId="37" xfId="0" applyFont="1" applyBorder="1"/>
    <xf numFmtId="0" fontId="54" fillId="0" borderId="0" xfId="0" applyFont="1"/>
    <xf numFmtId="168" fontId="73" fillId="0" borderId="0" xfId="0" applyNumberFormat="1" applyFont="1" applyBorder="1" applyAlignment="1">
      <alignment horizontal="center"/>
    </xf>
    <xf numFmtId="0" fontId="108" fillId="0" borderId="38" xfId="0" applyFont="1" applyBorder="1"/>
    <xf numFmtId="0" fontId="49" fillId="0" borderId="38" xfId="0" applyFont="1" applyBorder="1"/>
    <xf numFmtId="0" fontId="61" fillId="0" borderId="38" xfId="0" applyFont="1" applyBorder="1"/>
    <xf numFmtId="0" fontId="64" fillId="7" borderId="6" xfId="0" applyFont="1" applyFill="1" applyBorder="1"/>
    <xf numFmtId="0" fontId="104" fillId="18" borderId="31" xfId="0" applyFont="1" applyFill="1" applyBorder="1" applyAlignment="1"/>
    <xf numFmtId="0" fontId="105" fillId="17" borderId="31" xfId="0" applyFont="1" applyFill="1" applyBorder="1" applyAlignment="1"/>
    <xf numFmtId="0" fontId="64" fillId="7" borderId="5" xfId="0" applyFont="1" applyFill="1" applyBorder="1" applyAlignment="1"/>
    <xf numFmtId="0" fontId="104" fillId="18" borderId="15" xfId="0" applyFont="1" applyFill="1" applyBorder="1" applyAlignment="1"/>
    <xf numFmtId="38" fontId="49" fillId="0" borderId="11" xfId="0" applyNumberFormat="1" applyFont="1" applyBorder="1"/>
    <xf numFmtId="38" fontId="50" fillId="0" borderId="0" xfId="0" applyNumberFormat="1" applyFont="1"/>
    <xf numFmtId="0" fontId="50" fillId="0" borderId="24" xfId="0" applyFont="1" applyBorder="1"/>
    <xf numFmtId="38" fontId="50" fillId="0" borderId="24" xfId="0" applyNumberFormat="1" applyFont="1" applyBorder="1"/>
    <xf numFmtId="167" fontId="5" fillId="13" borderId="30" xfId="2" applyNumberFormat="1" applyFont="1" applyFill="1" applyBorder="1" applyAlignment="1">
      <alignment horizontal="center"/>
    </xf>
    <xf numFmtId="38" fontId="5" fillId="15" borderId="5" xfId="0" applyNumberFormat="1" applyFont="1" applyFill="1" applyBorder="1" applyAlignment="1">
      <alignment horizontal="center"/>
    </xf>
    <xf numFmtId="38" fontId="5" fillId="7" borderId="39" xfId="0" applyNumberFormat="1" applyFont="1" applyFill="1" applyBorder="1" applyAlignment="1">
      <alignment horizontal="center"/>
    </xf>
    <xf numFmtId="38" fontId="5" fillId="7" borderId="40" xfId="0" applyNumberFormat="1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9" fontId="47" fillId="0" borderId="0" xfId="2" applyFont="1" applyFill="1" applyAlignment="1">
      <alignment horizontal="center"/>
    </xf>
    <xf numFmtId="38" fontId="19" fillId="0" borderId="0" xfId="0" applyNumberFormat="1" applyFont="1" applyAlignment="1">
      <alignment horizontal="center"/>
    </xf>
    <xf numFmtId="38" fontId="5" fillId="14" borderId="12" xfId="4" applyNumberFormat="1" applyFont="1" applyBorder="1"/>
    <xf numFmtId="0" fontId="3" fillId="12" borderId="0" xfId="0" applyFont="1" applyFill="1"/>
    <xf numFmtId="0" fontId="44" fillId="12" borderId="0" xfId="0" applyFont="1" applyFill="1" applyBorder="1" applyAlignment="1">
      <alignment horizontal="right"/>
    </xf>
    <xf numFmtId="38" fontId="3" fillId="12" borderId="0" xfId="0" applyNumberFormat="1" applyFont="1" applyFill="1"/>
    <xf numFmtId="0" fontId="0" fillId="12" borderId="0" xfId="0" applyFill="1"/>
    <xf numFmtId="0" fontId="35" fillId="12" borderId="0" xfId="0" applyFont="1" applyFill="1" applyAlignment="1"/>
    <xf numFmtId="38" fontId="0" fillId="12" borderId="0" xfId="0" applyNumberFormat="1" applyFill="1"/>
    <xf numFmtId="0" fontId="18" fillId="15" borderId="0" xfId="0" applyFont="1" applyFill="1"/>
    <xf numFmtId="0" fontId="19" fillId="15" borderId="0" xfId="0" applyFont="1" applyFill="1"/>
    <xf numFmtId="38" fontId="19" fillId="15" borderId="0" xfId="0" applyNumberFormat="1" applyFont="1" applyFill="1"/>
    <xf numFmtId="0" fontId="0" fillId="15" borderId="0" xfId="0" applyFill="1"/>
    <xf numFmtId="0" fontId="8" fillId="15" borderId="0" xfId="0" applyFont="1" applyFill="1"/>
    <xf numFmtId="0" fontId="44" fillId="15" borderId="0" xfId="0" applyFont="1" applyFill="1" applyBorder="1" applyAlignment="1">
      <alignment horizontal="right"/>
    </xf>
    <xf numFmtId="38" fontId="18" fillId="15" borderId="0" xfId="0" applyNumberFormat="1" applyFont="1" applyFill="1"/>
    <xf numFmtId="38" fontId="8" fillId="15" borderId="0" xfId="0" applyNumberFormat="1" applyFont="1" applyFill="1"/>
    <xf numFmtId="0" fontId="4" fillId="12" borderId="0" xfId="0" applyFont="1" applyFill="1" applyBorder="1" applyAlignment="1"/>
    <xf numFmtId="0" fontId="7" fillId="13" borderId="0" xfId="0" applyFont="1" applyFill="1"/>
    <xf numFmtId="0" fontId="5" fillId="13" borderId="0" xfId="0" applyFont="1" applyFill="1"/>
    <xf numFmtId="0" fontId="8" fillId="13" borderId="0" xfId="0" applyFont="1" applyFill="1"/>
    <xf numFmtId="0" fontId="19" fillId="13" borderId="0" xfId="0" applyFont="1" applyFill="1"/>
    <xf numFmtId="0" fontId="44" fillId="13" borderId="0" xfId="0" applyFont="1" applyFill="1" applyBorder="1" applyAlignment="1">
      <alignment horizontal="right"/>
    </xf>
    <xf numFmtId="0" fontId="0" fillId="13" borderId="0" xfId="0" applyFill="1"/>
    <xf numFmtId="38" fontId="8" fillId="13" borderId="0" xfId="0" applyNumberFormat="1" applyFont="1" applyFill="1"/>
    <xf numFmtId="38" fontId="9" fillId="0" borderId="0" xfId="0" applyNumberFormat="1" applyFont="1" applyFill="1" applyAlignment="1">
      <alignment horizontal="center"/>
    </xf>
    <xf numFmtId="38" fontId="19" fillId="14" borderId="22" xfId="4" applyNumberFormat="1" applyFont="1"/>
    <xf numFmtId="38" fontId="8" fillId="14" borderId="22" xfId="4" applyNumberFormat="1" applyFont="1"/>
    <xf numFmtId="38" fontId="16" fillId="0" borderId="0" xfId="0" applyNumberFormat="1" applyFont="1" applyAlignment="1">
      <alignment horizontal="center"/>
    </xf>
    <xf numFmtId="8" fontId="49" fillId="0" borderId="0" xfId="0" applyNumberFormat="1" applyFont="1"/>
    <xf numFmtId="0" fontId="1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8" fillId="20" borderId="0" xfId="5" applyBorder="1" applyAlignment="1">
      <alignment horizontal="center"/>
    </xf>
    <xf numFmtId="0" fontId="38" fillId="20" borderId="43" xfId="5" applyBorder="1"/>
    <xf numFmtId="0" fontId="38" fillId="20" borderId="43" xfId="5" applyBorder="1" applyAlignment="1">
      <alignment horizontal="center"/>
    </xf>
    <xf numFmtId="0" fontId="38" fillId="20" borderId="44" xfId="5" applyBorder="1"/>
    <xf numFmtId="0" fontId="38" fillId="20" borderId="46" xfId="5" applyBorder="1"/>
    <xf numFmtId="0" fontId="38" fillId="20" borderId="48" xfId="5" applyBorder="1"/>
    <xf numFmtId="0" fontId="38" fillId="20" borderId="48" xfId="5" applyBorder="1" applyAlignment="1">
      <alignment horizontal="center"/>
    </xf>
    <xf numFmtId="0" fontId="38" fillId="20" borderId="49" xfId="5" applyBorder="1"/>
    <xf numFmtId="0" fontId="12" fillId="20" borderId="42" xfId="5" applyFont="1" applyBorder="1"/>
    <xf numFmtId="0" fontId="12" fillId="20" borderId="43" xfId="5" applyFont="1" applyBorder="1"/>
    <xf numFmtId="0" fontId="12" fillId="20" borderId="45" xfId="5" applyFont="1" applyBorder="1"/>
    <xf numFmtId="0" fontId="12" fillId="20" borderId="0" xfId="5" applyFont="1" applyBorder="1"/>
    <xf numFmtId="0" fontId="12" fillId="20" borderId="47" xfId="5" applyFont="1" applyBorder="1"/>
    <xf numFmtId="0" fontId="12" fillId="20" borderId="48" xfId="5" applyFont="1" applyBorder="1"/>
    <xf numFmtId="170" fontId="8" fillId="21" borderId="41" xfId="6" applyNumberFormat="1" applyFont="1" applyBorder="1" applyAlignment="1">
      <alignment horizontal="center"/>
    </xf>
    <xf numFmtId="171" fontId="8" fillId="21" borderId="41" xfId="6" applyNumberFormat="1" applyFont="1" applyBorder="1" applyAlignment="1">
      <alignment horizontal="center"/>
    </xf>
    <xf numFmtId="0" fontId="49" fillId="0" borderId="0" xfId="0" applyFont="1" applyBorder="1" applyAlignment="1">
      <alignment horizontal="right" indent="1"/>
    </xf>
    <xf numFmtId="0" fontId="49" fillId="0" borderId="0" xfId="0" applyFont="1" applyBorder="1"/>
    <xf numFmtId="0" fontId="86" fillId="0" borderId="0" xfId="0" applyFont="1" applyBorder="1"/>
    <xf numFmtId="38" fontId="1" fillId="2" borderId="1" xfId="1" applyNumberFormat="1" applyFont="1"/>
    <xf numFmtId="38" fontId="1" fillId="2" borderId="9" xfId="1" applyNumberFormat="1" applyFont="1" applyBorder="1"/>
    <xf numFmtId="0" fontId="0" fillId="15" borderId="0" xfId="0" applyFont="1" applyFill="1"/>
    <xf numFmtId="0" fontId="0" fillId="12" borderId="0" xfId="0" applyFont="1" applyFill="1"/>
    <xf numFmtId="38" fontId="0" fillId="12" borderId="0" xfId="0" applyNumberFormat="1" applyFont="1" applyFill="1"/>
    <xf numFmtId="0" fontId="0" fillId="13" borderId="0" xfId="0" applyFont="1" applyFill="1"/>
    <xf numFmtId="0" fontId="7" fillId="5" borderId="12" xfId="0" applyFont="1" applyFill="1" applyBorder="1" applyAlignment="1">
      <alignment horizontal="center"/>
    </xf>
    <xf numFmtId="0" fontId="70" fillId="0" borderId="0" xfId="0" applyFont="1" applyAlignment="1">
      <alignment horizontal="centerContinuous"/>
    </xf>
    <xf numFmtId="0" fontId="71" fillId="0" borderId="0" xfId="0" applyFont="1" applyAlignment="1">
      <alignment horizontal="centerContinuous"/>
    </xf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17" borderId="0" xfId="0" applyFill="1"/>
    <xf numFmtId="0" fontId="0" fillId="25" borderId="0" xfId="0" applyFill="1"/>
    <xf numFmtId="0" fontId="0" fillId="26" borderId="0" xfId="0" applyFill="1"/>
    <xf numFmtId="0" fontId="110" fillId="27" borderId="0" xfId="0" applyFont="1" applyFill="1"/>
    <xf numFmtId="0" fontId="0" fillId="28" borderId="0" xfId="0" applyFill="1"/>
    <xf numFmtId="0" fontId="0" fillId="29" borderId="0" xfId="0" applyFill="1"/>
    <xf numFmtId="0" fontId="0" fillId="30" borderId="0" xfId="0" applyFill="1"/>
    <xf numFmtId="0" fontId="110" fillId="31" borderId="0" xfId="0" applyFont="1" applyFill="1"/>
    <xf numFmtId="0" fontId="0" fillId="32" borderId="0" xfId="0" applyFill="1"/>
    <xf numFmtId="0" fontId="39" fillId="0" borderId="0" xfId="0" applyFont="1"/>
    <xf numFmtId="0" fontId="15" fillId="12" borderId="31" xfId="0" applyFont="1" applyFill="1" applyBorder="1" applyAlignment="1">
      <alignment horizontal="centerContinuous" vertical="center"/>
    </xf>
    <xf numFmtId="0" fontId="15" fillId="12" borderId="15" xfId="0" applyFont="1" applyFill="1" applyBorder="1" applyAlignment="1">
      <alignment horizontal="centerContinuous" vertical="center"/>
    </xf>
    <xf numFmtId="0" fontId="15" fillId="12" borderId="30" xfId="0" applyFont="1" applyFill="1" applyBorder="1" applyAlignment="1">
      <alignment horizontal="centerContinuous" vertical="center"/>
    </xf>
    <xf numFmtId="0" fontId="111" fillId="33" borderId="31" xfId="0" applyFont="1" applyFill="1" applyBorder="1" applyAlignment="1">
      <alignment horizontal="centerContinuous" vertical="center"/>
    </xf>
    <xf numFmtId="0" fontId="35" fillId="33" borderId="15" xfId="0" applyFont="1" applyFill="1" applyBorder="1" applyAlignment="1">
      <alignment horizontal="centerContinuous" vertical="center"/>
    </xf>
    <xf numFmtId="0" fontId="35" fillId="33" borderId="30" xfId="0" applyFont="1" applyFill="1" applyBorder="1" applyAlignment="1">
      <alignment horizontal="centerContinuous" vertical="center"/>
    </xf>
    <xf numFmtId="0" fontId="56" fillId="0" borderId="0" xfId="0" applyFont="1" applyAlignment="1">
      <alignment horizontal="left" vertical="center"/>
    </xf>
    <xf numFmtId="173" fontId="70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6" fillId="0" borderId="0" xfId="0" applyFont="1" applyAlignment="1">
      <alignment horizontal="center" vertical="center"/>
    </xf>
    <xf numFmtId="14" fontId="0" fillId="0" borderId="0" xfId="0" applyNumberFormat="1"/>
  </cellXfs>
  <cellStyles count="7">
    <cellStyle name="20% - Accent1" xfId="5" builtinId="30"/>
    <cellStyle name="40% - Accent1" xfId="6" builtinId="31"/>
    <cellStyle name="Comma" xfId="3" builtinId="3"/>
    <cellStyle name="Input" xfId="1" builtinId="20"/>
    <cellStyle name="Normal" xfId="0" builtinId="0"/>
    <cellStyle name="Note" xfId="4" builtinId="10"/>
    <cellStyle name="Percent" xfId="2" builtinId="5"/>
  </cellStyles>
  <dxfs count="17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0099"/>
      <color rgb="FF000066"/>
      <color rgb="FF0000FF"/>
      <color rgb="FF663300"/>
      <color rgb="FF996600"/>
      <color rgb="FFCC9900"/>
      <color rgb="FF008000"/>
      <color rgb="FF003300"/>
      <color rgb="FFFF00FF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25018906967544E-2"/>
          <c:y val="0.10171064395193179"/>
          <c:w val="0.91420112817542387"/>
          <c:h val="0.867669080395614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Presentation!$CW$8:$CX$8</c:f>
              <c:strCache>
                <c:ptCount val="2"/>
                <c:pt idx="0">
                  <c:v>Biz1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Presentation!$CY$7:$CZ$7</c:f>
              <c:strCache>
                <c:ptCount val="2"/>
                <c:pt idx="0">
                  <c:v>Market Comparables</c:v>
                </c:pt>
                <c:pt idx="1">
                  <c:v>Discounted Cash Flow</c:v>
                </c:pt>
              </c:strCache>
            </c:strRef>
          </c:cat>
          <c:val>
            <c:numRef>
              <c:f>Presentation!$CY$8:$CZ$8</c:f>
              <c:numCache>
                <c:formatCode>"$"#,##0_);[Red]\("$"#,##0\)</c:formatCode>
                <c:ptCount val="2"/>
                <c:pt idx="0">
                  <c:v>337.4188178038454</c:v>
                </c:pt>
                <c:pt idx="1">
                  <c:v>190.53477433304906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F6-4188-95DF-7FDC823AB7AA}"/>
            </c:ext>
          </c:extLst>
        </c:ser>
        <c:ser>
          <c:idx val="1"/>
          <c:order val="1"/>
          <c:tx>
            <c:strRef>
              <c:f>Presentation!$CW$9:$CX$9</c:f>
              <c:strCache>
                <c:ptCount val="2"/>
                <c:pt idx="0">
                  <c:v>Biz2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solidFill>
                <a:schemeClr val="accent2">
                  <a:lumMod val="60000"/>
                  <a:lumOff val="40000"/>
                </a:schemeClr>
              </a:solidFill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Presentation!$CY$7:$CZ$7</c:f>
              <c:strCache>
                <c:ptCount val="2"/>
                <c:pt idx="0">
                  <c:v>Market Comparables</c:v>
                </c:pt>
                <c:pt idx="1">
                  <c:v>Discounted Cash Flow</c:v>
                </c:pt>
              </c:strCache>
            </c:strRef>
          </c:cat>
          <c:val>
            <c:numRef>
              <c:f>Presentation!$CY$9:$CZ$9</c:f>
              <c:numCache>
                <c:formatCode>"$"#,##0_);[Red]\("$"#,##0\)</c:formatCode>
                <c:ptCount val="2"/>
                <c:pt idx="0">
                  <c:v>10.572388088227129</c:v>
                </c:pt>
                <c:pt idx="1">
                  <c:v>-3.1597326620417023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F6-4188-95DF-7FDC823AB7AA}"/>
            </c:ext>
          </c:extLst>
        </c:ser>
        <c:ser>
          <c:idx val="2"/>
          <c:order val="2"/>
          <c:tx>
            <c:strRef>
              <c:f>Presentation!$CW$10:$CX$10</c:f>
              <c:strCache>
                <c:ptCount val="2"/>
                <c:pt idx="0">
                  <c:v>Corp. Overhead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6.4761893591874413E-3"/>
                  <c:y val="0.5293033168693879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F6-4188-95DF-7FDC823AB7A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Presentation!$CY$7:$CZ$7</c:f>
              <c:strCache>
                <c:ptCount val="2"/>
                <c:pt idx="0">
                  <c:v>Market Comparables</c:v>
                </c:pt>
                <c:pt idx="1">
                  <c:v>Discounted Cash Flow</c:v>
                </c:pt>
              </c:strCache>
            </c:strRef>
          </c:cat>
          <c:val>
            <c:numRef>
              <c:f>Presentation!$CY$10:$CZ$10</c:f>
              <c:numCache>
                <c:formatCode>"$"#,##0_);[Red]\("$"#,##0\)</c:formatCode>
                <c:ptCount val="2"/>
                <c:pt idx="0">
                  <c:v>0</c:v>
                </c:pt>
                <c:pt idx="1">
                  <c:v>-202.13522559995113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F6-4188-95DF-7FDC823AB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overlap val="100"/>
        <c:axId val="92727552"/>
        <c:axId val="92086272"/>
      </c:barChart>
      <c:catAx>
        <c:axId val="92727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txPr>
          <a:bodyPr/>
          <a:lstStyle/>
          <a:p>
            <a:pPr>
              <a:defRPr sz="16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92086272"/>
        <c:crosses val="autoZero"/>
        <c:auto val="1"/>
        <c:lblAlgn val="ctr"/>
        <c:lblOffset val="100"/>
        <c:noMultiLvlLbl val="0"/>
      </c:catAx>
      <c:valAx>
        <c:axId val="92086272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927275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en-US"/>
    </a:p>
  </c:txPr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Presentation!$DK$11</c:f>
              <c:strCache>
                <c:ptCount val="1"/>
                <c:pt idx="0">
                  <c:v>Biz1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Presentation!$DL$10:$DN$10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Presentation!$DL$11:$DN$11</c:f>
              <c:numCache>
                <c:formatCode>0.0\x;[Red]\(0.0\)\x</c:formatCode>
                <c:ptCount val="3"/>
                <c:pt idx="0">
                  <c:v>2.5496327242232808</c:v>
                </c:pt>
                <c:pt idx="1">
                  <c:v>1.6946747088463716</c:v>
                </c:pt>
                <c:pt idx="2">
                  <c:v>1.8242441312560993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12-45D3-AFD2-9B42B200B049}"/>
            </c:ext>
          </c:extLst>
        </c:ser>
        <c:ser>
          <c:idx val="1"/>
          <c:order val="1"/>
          <c:tx>
            <c:strRef>
              <c:f>Presentation!$DK$12</c:f>
              <c:strCache>
                <c:ptCount val="1"/>
                <c:pt idx="0">
                  <c:v>Biz2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Presentation!$DL$10:$DN$10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Presentation!$DL$12:$DN$12</c:f>
              <c:numCache>
                <c:formatCode>0.0\x;[Red]\(0.0\)\x</c:formatCode>
                <c:ptCount val="3"/>
                <c:pt idx="0">
                  <c:v>5.3373594335693282</c:v>
                </c:pt>
                <c:pt idx="1">
                  <c:v>6.9173942243116313</c:v>
                </c:pt>
                <c:pt idx="2">
                  <c:v>4.3025771911176918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12-45D3-AFD2-9B42B200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4"/>
        <c:axId val="92115328"/>
        <c:axId val="92116864"/>
      </c:barChart>
      <c:catAx>
        <c:axId val="921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116864"/>
        <c:crosses val="autoZero"/>
        <c:auto val="1"/>
        <c:lblAlgn val="ctr"/>
        <c:lblOffset val="100"/>
        <c:noMultiLvlLbl val="0"/>
      </c:catAx>
      <c:valAx>
        <c:axId val="92116864"/>
        <c:scaling>
          <c:orientation val="minMax"/>
        </c:scaling>
        <c:delete val="0"/>
        <c:axPos val="l"/>
        <c:majorGridlines/>
        <c:numFmt formatCode="0.0\x;[Red]\(0.0\)\x" sourceLinked="1"/>
        <c:majorTickMark val="out"/>
        <c:minorTickMark val="none"/>
        <c:tickLblPos val="nextTo"/>
        <c:crossAx val="92115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Operating </a:t>
            </a:r>
            <a:r>
              <a:rPr lang="en-US" sz="1400"/>
              <a:t>(EBITDA)</a:t>
            </a:r>
            <a:r>
              <a:rPr lang="en-US" sz="1400" baseline="0"/>
              <a:t> </a:t>
            </a:r>
            <a:r>
              <a:rPr lang="en-US"/>
              <a:t>Margin</a:t>
            </a:r>
          </a:p>
        </c:rich>
      </c:tx>
      <c:overlay val="1"/>
      <c:spPr>
        <a:solidFill>
          <a:schemeClr val="bg1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Presentation!$DY$6</c:f>
              <c:strCache>
                <c:ptCount val="1"/>
                <c:pt idx="0">
                  <c:v>Biz1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Presentation!$DZ$5:$EI$5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Presentation!$DZ$6:$EI$6</c:f>
              <c:numCache>
                <c:formatCode>0%</c:formatCode>
                <c:ptCount val="10"/>
                <c:pt idx="0">
                  <c:v>-4.5552031605805378E-2</c:v>
                </c:pt>
                <c:pt idx="1">
                  <c:v>-0.14274739723157109</c:v>
                </c:pt>
                <c:pt idx="2">
                  <c:v>-7.0843672702701019E-2</c:v>
                </c:pt>
                <c:pt idx="3">
                  <c:v>2.7394216614516884E-2</c:v>
                </c:pt>
                <c:pt idx="4">
                  <c:v>5.2397972043688658E-2</c:v>
                </c:pt>
                <c:pt idx="5">
                  <c:v>4.4972980681425155E-2</c:v>
                </c:pt>
                <c:pt idx="6">
                  <c:v>4.967422131349037E-2</c:v>
                </c:pt>
                <c:pt idx="7">
                  <c:v>5.0476170277992047E-2</c:v>
                </c:pt>
                <c:pt idx="8">
                  <c:v>4.9650597778383022E-2</c:v>
                </c:pt>
                <c:pt idx="9">
                  <c:v>4.3623462005123383E-2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852-4E72-A55C-EEEC3628BCFC}"/>
            </c:ext>
          </c:extLst>
        </c:ser>
        <c:ser>
          <c:idx val="1"/>
          <c:order val="1"/>
          <c:tx>
            <c:strRef>
              <c:f>Presentation!$DY$7</c:f>
              <c:strCache>
                <c:ptCount val="1"/>
                <c:pt idx="0">
                  <c:v>Biz2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Presentation!$DZ$5:$EI$5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Presentation!$DZ$7:$EI$7</c:f>
              <c:numCache>
                <c:formatCode>0%</c:formatCode>
                <c:ptCount val="10"/>
                <c:pt idx="0">
                  <c:v>1.1845206386719586E-2</c:v>
                </c:pt>
                <c:pt idx="1">
                  <c:v>3.6989128923735647E-2</c:v>
                </c:pt>
                <c:pt idx="2">
                  <c:v>5.4678821809894224E-2</c:v>
                </c:pt>
                <c:pt idx="3">
                  <c:v>2.1695374710566435E-2</c:v>
                </c:pt>
                <c:pt idx="4">
                  <c:v>1.1455039387115649E-2</c:v>
                </c:pt>
                <c:pt idx="5">
                  <c:v>2.0299594020601611E-2</c:v>
                </c:pt>
                <c:pt idx="6">
                  <c:v>1.8962626838279952E-2</c:v>
                </c:pt>
                <c:pt idx="7">
                  <c:v>1.7423657908334205E-2</c:v>
                </c:pt>
                <c:pt idx="8">
                  <c:v>1.7423657908334205E-2</c:v>
                </c:pt>
                <c:pt idx="9">
                  <c:v>1.7423657908334205E-2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52-4E72-A55C-EEEC3628B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844800"/>
        <c:axId val="92846336"/>
      </c:lineChart>
      <c:catAx>
        <c:axId val="92844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846336"/>
        <c:crosses val="autoZero"/>
        <c:auto val="1"/>
        <c:lblAlgn val="ctr"/>
        <c:lblOffset val="100"/>
        <c:noMultiLvlLbl val="0"/>
      </c:catAx>
      <c:valAx>
        <c:axId val="92846336"/>
        <c:scaling>
          <c:orientation val="minMax"/>
        </c:scaling>
        <c:delete val="0"/>
        <c:axPos val="l"/>
        <c:majorGridlines/>
        <c:numFmt formatCode="0%;[Red]\(0%\)" sourceLinked="0"/>
        <c:majorTickMark val="out"/>
        <c:minorTickMark val="none"/>
        <c:tickLblPos val="nextTo"/>
        <c:crossAx val="92844800"/>
        <c:crosses val="autoZero"/>
        <c:crossBetween val="between"/>
        <c:majorUnit val="0.15000000000000024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Economic Profit  </a:t>
            </a:r>
            <a:r>
              <a:rPr lang="en-US" sz="1200"/>
              <a:t>($ mil)</a:t>
            </a:r>
          </a:p>
        </c:rich>
      </c:tx>
      <c:overlay val="1"/>
      <c:spPr>
        <a:solidFill>
          <a:schemeClr val="bg1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Presentation!$DY$22</c:f>
              <c:strCache>
                <c:ptCount val="1"/>
                <c:pt idx="0">
                  <c:v>Biz1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Presentation!$DZ$5:$EI$5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Presentation!$DZ$22:$EI$22</c:f>
              <c:numCache>
                <c:formatCode>#,##0_);[Red]\(#,##0\)</c:formatCode>
                <c:ptCount val="10"/>
                <c:pt idx="0">
                  <c:v>-49.294175308488263</c:v>
                </c:pt>
                <c:pt idx="1">
                  <c:v>-56.787372862830857</c:v>
                </c:pt>
                <c:pt idx="2">
                  <c:v>-38.753948298460379</c:v>
                </c:pt>
                <c:pt idx="3">
                  <c:v>-19.366449179192095</c:v>
                </c:pt>
                <c:pt idx="4">
                  <c:v>-5.7317840261730959</c:v>
                </c:pt>
                <c:pt idx="5">
                  <c:v>-14.039678614687928</c:v>
                </c:pt>
                <c:pt idx="6">
                  <c:v>-12.653271338134495</c:v>
                </c:pt>
                <c:pt idx="7">
                  <c:v>-16.425776606867824</c:v>
                </c:pt>
                <c:pt idx="8">
                  <c:v>-23.055043589645582</c:v>
                </c:pt>
                <c:pt idx="9">
                  <c:v>-38.104072810079344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506-4427-B18F-EE464527EDDD}"/>
            </c:ext>
          </c:extLst>
        </c:ser>
        <c:ser>
          <c:idx val="1"/>
          <c:order val="1"/>
          <c:tx>
            <c:strRef>
              <c:f>Presentation!$DY$23</c:f>
              <c:strCache>
                <c:ptCount val="1"/>
                <c:pt idx="0">
                  <c:v>Biz2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Presentation!$DZ$5:$EI$5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Presentation!$DZ$23:$EI$23</c:f>
              <c:numCache>
                <c:formatCode>#,##0_);[Red]\(#,##0\)</c:formatCode>
                <c:ptCount val="10"/>
                <c:pt idx="0">
                  <c:v>-0.11828757376184799</c:v>
                </c:pt>
                <c:pt idx="1">
                  <c:v>5.6120539016133479</c:v>
                </c:pt>
                <c:pt idx="2">
                  <c:v>1.6804187992207131</c:v>
                </c:pt>
                <c:pt idx="3">
                  <c:v>-0.85321679799973527</c:v>
                </c:pt>
                <c:pt idx="4">
                  <c:v>-2.0462299506623398</c:v>
                </c:pt>
                <c:pt idx="5">
                  <c:v>-0.92442894306623935</c:v>
                </c:pt>
                <c:pt idx="6">
                  <c:v>-1.2304305338253281</c:v>
                </c:pt>
                <c:pt idx="7">
                  <c:v>-1.7906885215308825</c:v>
                </c:pt>
                <c:pt idx="8">
                  <c:v>-2.0517138144215856</c:v>
                </c:pt>
                <c:pt idx="9">
                  <c:v>-2.2913858963122897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506-4427-B18F-EE464527E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396800"/>
        <c:axId val="98419072"/>
      </c:lineChart>
      <c:catAx>
        <c:axId val="9839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8419072"/>
        <c:crosses val="autoZero"/>
        <c:auto val="1"/>
        <c:lblAlgn val="ctr"/>
        <c:lblOffset val="100"/>
        <c:noMultiLvlLbl val="0"/>
      </c:catAx>
      <c:valAx>
        <c:axId val="98419072"/>
        <c:scaling>
          <c:orientation val="minMax"/>
        </c:scaling>
        <c:delete val="0"/>
        <c:axPos val="l"/>
        <c:majorGridlines/>
        <c:numFmt formatCode="&quot;$&quot;#,##0_);[Red]\(&quot;$&quot;#,##0\)" sourceLinked="0"/>
        <c:majorTickMark val="out"/>
        <c:minorTickMark val="none"/>
        <c:tickLblPos val="nextTo"/>
        <c:crossAx val="98396800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325906835988433E-2"/>
          <c:y val="8.6392215724880636E-2"/>
          <c:w val="0.91887038056104753"/>
          <c:h val="0.73958419518881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Presentation!$EN$18</c:f>
              <c:strCache>
                <c:ptCount val="1"/>
                <c:pt idx="0">
                  <c:v>Biz1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Presentation!$EO$17:$ES$17</c:f>
              <c:strCache>
                <c:ptCount val="5"/>
                <c:pt idx="0">
                  <c:v>Free Cash Flow</c:v>
                </c:pt>
                <c:pt idx="1">
                  <c:v>Net Income</c:v>
                </c:pt>
                <c:pt idx="2">
                  <c:v>Free Cash Flow</c:v>
                </c:pt>
                <c:pt idx="3">
                  <c:v>Net Income</c:v>
                </c:pt>
                <c:pt idx="4">
                  <c:v>EBITDA</c:v>
                </c:pt>
              </c:strCache>
            </c:strRef>
          </c:cat>
          <c:val>
            <c:numRef>
              <c:f>Presentation!$EO$18:$ES$18</c:f>
              <c:numCache>
                <c:formatCode>0.0%;[Red]\(0.0%\)</c:formatCode>
                <c:ptCount val="5"/>
                <c:pt idx="0">
                  <c:v>7.8938410674384507E-2</c:v>
                </c:pt>
                <c:pt idx="1">
                  <c:v>3.7549143968073587E-2</c:v>
                </c:pt>
                <c:pt idx="2">
                  <c:v>0.13979235707654897</c:v>
                </c:pt>
                <c:pt idx="3">
                  <c:v>6.6495933939635474E-2</c:v>
                </c:pt>
                <c:pt idx="4">
                  <c:v>0.23943513718722481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46-422E-B1F5-CE0F9F6D139A}"/>
            </c:ext>
          </c:extLst>
        </c:ser>
        <c:ser>
          <c:idx val="1"/>
          <c:order val="1"/>
          <c:tx>
            <c:strRef>
              <c:f>Presentation!$EN$19</c:f>
              <c:strCache>
                <c:ptCount val="1"/>
                <c:pt idx="0">
                  <c:v>Biz2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Presentation!$EO$17:$ES$17</c:f>
              <c:strCache>
                <c:ptCount val="5"/>
                <c:pt idx="0">
                  <c:v>Free Cash Flow</c:v>
                </c:pt>
                <c:pt idx="1">
                  <c:v>Net Income</c:v>
                </c:pt>
                <c:pt idx="2">
                  <c:v>Free Cash Flow</c:v>
                </c:pt>
                <c:pt idx="3">
                  <c:v>Net Income</c:v>
                </c:pt>
                <c:pt idx="4">
                  <c:v>EBITDA</c:v>
                </c:pt>
              </c:strCache>
            </c:strRef>
          </c:cat>
          <c:val>
            <c:numRef>
              <c:f>Presentation!$EO$19:$ES$19</c:f>
              <c:numCache>
                <c:formatCode>0.0%;[Red]\(0.0%\)</c:formatCode>
                <c:ptCount val="5"/>
                <c:pt idx="0">
                  <c:v>0.19884789192899044</c:v>
                </c:pt>
                <c:pt idx="1">
                  <c:v>-8.9664744340553576E-2</c:v>
                </c:pt>
                <c:pt idx="2">
                  <c:v>-0.66534017553266911</c:v>
                </c:pt>
                <c:pt idx="3">
                  <c:v>0.30001603818832451</c:v>
                </c:pt>
                <c:pt idx="4">
                  <c:v>-0.45239270308278207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46-422E-B1F5-CE0F9F6D139A}"/>
            </c:ext>
          </c:extLst>
        </c:ser>
        <c:ser>
          <c:idx val="2"/>
          <c:order val="2"/>
          <c:tx>
            <c:strRef>
              <c:f>Presentation!$EN$20</c:f>
              <c:strCache>
                <c:ptCount val="1"/>
                <c:pt idx="0">
                  <c:v>Corporate Overhead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Presentation!$EO$17:$ES$17</c:f>
              <c:strCache>
                <c:ptCount val="5"/>
                <c:pt idx="0">
                  <c:v>Free Cash Flow</c:v>
                </c:pt>
                <c:pt idx="1">
                  <c:v>Net Income</c:v>
                </c:pt>
                <c:pt idx="2">
                  <c:v>Free Cash Flow</c:v>
                </c:pt>
                <c:pt idx="3">
                  <c:v>Net Income</c:v>
                </c:pt>
                <c:pt idx="4">
                  <c:v>EBITDA</c:v>
                </c:pt>
              </c:strCache>
            </c:strRef>
          </c:cat>
          <c:val>
            <c:numRef>
              <c:f>Presentation!$EO$20:$ES$20</c:f>
              <c:numCache>
                <c:formatCode>0%;[Red]\(0%\)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8.1893617193227464E-3</c:v>
                </c:pt>
                <c:pt idx="3">
                  <c:v>0.14976359673134743</c:v>
                </c:pt>
                <c:pt idx="4">
                  <c:v>0.14996357374927705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6-422E-B1F5-CE0F9F6D1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8"/>
        <c:overlap val="-20"/>
        <c:axId val="98537472"/>
        <c:axId val="98539008"/>
      </c:barChart>
      <c:catAx>
        <c:axId val="9853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98539008"/>
        <c:crosses val="autoZero"/>
        <c:auto val="1"/>
        <c:lblAlgn val="ctr"/>
        <c:lblOffset val="100"/>
        <c:noMultiLvlLbl val="0"/>
      </c:catAx>
      <c:valAx>
        <c:axId val="98539008"/>
        <c:scaling>
          <c:orientation val="minMax"/>
        </c:scaling>
        <c:delete val="0"/>
        <c:axPos val="l"/>
        <c:majorGridlines/>
        <c:numFmt formatCode="0.0%;[Red]\(0.0%\)" sourceLinked="1"/>
        <c:majorTickMark val="out"/>
        <c:minorTickMark val="none"/>
        <c:tickLblPos val="nextTo"/>
        <c:crossAx val="9853747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7818437270250123E-2"/>
          <c:y val="1.9974557494596142E-2"/>
          <c:w val="0.34415486015928015"/>
          <c:h val="5.1747486643322814E-2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55" l="0.70000000000000062" r="0.70000000000000062" t="0.75000000000000555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Current Assets less Current Liabilities</a:t>
            </a:r>
          </a:p>
        </c:rich>
      </c:tx>
      <c:overlay val="1"/>
      <c:spPr>
        <a:solidFill>
          <a:sysClr val="window" lastClr="FFFFFF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Presentation!$EZ$9</c:f>
              <c:strCache>
                <c:ptCount val="1"/>
                <c:pt idx="0">
                  <c:v>Biz1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Presentation!$FA$8:$FJ$8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Presentation!$FA$9:$FJ$9</c:f>
              <c:numCache>
                <c:formatCode>#,##0_);[Red]\(#,##0\)</c:formatCode>
                <c:ptCount val="10"/>
                <c:pt idx="0">
                  <c:v>39502.0475080303</c:v>
                </c:pt>
                <c:pt idx="1">
                  <c:v>7809.8155080303113</c:v>
                </c:pt>
                <c:pt idx="2">
                  <c:v>-4614.8624919696886</c:v>
                </c:pt>
                <c:pt idx="3">
                  <c:v>13455.361355530826</c:v>
                </c:pt>
                <c:pt idx="4">
                  <c:v>2314.3418056272785</c:v>
                </c:pt>
                <c:pt idx="5">
                  <c:v>58230.164471641328</c:v>
                </c:pt>
                <c:pt idx="6">
                  <c:v>91318.396422825579</c:v>
                </c:pt>
                <c:pt idx="7">
                  <c:v>127207.64948811987</c:v>
                </c:pt>
                <c:pt idx="8">
                  <c:v>165602.56789462987</c:v>
                </c:pt>
                <c:pt idx="9">
                  <c:v>188049.91934213886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94-42BA-8FBD-8C1328C9C49F}"/>
            </c:ext>
          </c:extLst>
        </c:ser>
        <c:ser>
          <c:idx val="1"/>
          <c:order val="1"/>
          <c:tx>
            <c:strRef>
              <c:f>Presentation!$EZ$10</c:f>
              <c:strCache>
                <c:ptCount val="1"/>
                <c:pt idx="0">
                  <c:v>Biz2</c:v>
                </c:pt>
              </c:strCache>
            </c:strRef>
          </c:tx>
          <c:marker>
            <c:symbol val="none"/>
          </c:marker>
          <c:cat>
            <c:strRef>
              <c:f>Presentation!$FA$8:$FJ$8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Presentation!$FA$10:$FJ$10</c:f>
              <c:numCache>
                <c:formatCode>#,##0_);[Red]\(#,##0\)</c:formatCode>
                <c:ptCount val="10"/>
                <c:pt idx="0">
                  <c:v>-1735.5127124722858</c:v>
                </c:pt>
                <c:pt idx="1">
                  <c:v>2256.5602875277109</c:v>
                </c:pt>
                <c:pt idx="2">
                  <c:v>8667.1642875277175</c:v>
                </c:pt>
                <c:pt idx="3">
                  <c:v>5549.9262875277127</c:v>
                </c:pt>
                <c:pt idx="4">
                  <c:v>9268.9558125277181</c:v>
                </c:pt>
                <c:pt idx="5">
                  <c:v>12249.108244452516</c:v>
                </c:pt>
                <c:pt idx="6">
                  <c:v>13857.554313579854</c:v>
                </c:pt>
                <c:pt idx="7">
                  <c:v>15587.656150870363</c:v>
                </c:pt>
                <c:pt idx="8">
                  <c:v>17415.033727160862</c:v>
                </c:pt>
                <c:pt idx="9">
                  <c:v>19242.411303451368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94-42BA-8FBD-8C1328C9C49F}"/>
            </c:ext>
          </c:extLst>
        </c:ser>
        <c:ser>
          <c:idx val="5"/>
          <c:order val="2"/>
          <c:tx>
            <c:strRef>
              <c:f>Presentation!$EZ$18</c:f>
              <c:strCache>
                <c:ptCount val="1"/>
                <c:pt idx="0">
                  <c:v>COR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Presentation!$FA$8:$FJ$8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2013 (F)</c:v>
                </c:pt>
                <c:pt idx="6">
                  <c:v>2014 (F)</c:v>
                </c:pt>
                <c:pt idx="7">
                  <c:v>2015 (F)</c:v>
                </c:pt>
                <c:pt idx="8">
                  <c:v>2016 (F)</c:v>
                </c:pt>
                <c:pt idx="9">
                  <c:v>2017 (F)</c:v>
                </c:pt>
              </c:strCache>
            </c:strRef>
          </c:cat>
          <c:val>
            <c:numRef>
              <c:f>Presentation!$FA$18:$FJ$18</c:f>
              <c:numCache>
                <c:formatCode>#,##0_);[Red]\(#,##0\)</c:formatCode>
                <c:ptCount val="10"/>
                <c:pt idx="0">
                  <c:v>522362.18999999994</c:v>
                </c:pt>
                <c:pt idx="1">
                  <c:v>489580.80900000001</c:v>
                </c:pt>
                <c:pt idx="2">
                  <c:v>444184.05200000003</c:v>
                </c:pt>
                <c:pt idx="3">
                  <c:v>416700.41600000003</c:v>
                </c:pt>
                <c:pt idx="4">
                  <c:v>319080.25458804902</c:v>
                </c:pt>
                <c:pt idx="5">
                  <c:v>196210.20747781332</c:v>
                </c:pt>
                <c:pt idx="6">
                  <c:v>166490.56789428735</c:v>
                </c:pt>
                <c:pt idx="7">
                  <c:v>135134.69141932976</c:v>
                </c:pt>
                <c:pt idx="8">
                  <c:v>98386.814944372178</c:v>
                </c:pt>
                <c:pt idx="9">
                  <c:v>61639.117645014798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94-42BA-8FBD-8C1328C9C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612736"/>
        <c:axId val="98614272"/>
      </c:lineChart>
      <c:catAx>
        <c:axId val="986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614272"/>
        <c:crosses val="autoZero"/>
        <c:auto val="1"/>
        <c:lblAlgn val="ctr"/>
        <c:lblOffset val="100"/>
        <c:noMultiLvlLbl val="0"/>
      </c:catAx>
      <c:valAx>
        <c:axId val="9861427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98612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358599</xdr:colOff>
      <xdr:row>21</xdr:row>
      <xdr:rowOff>8965</xdr:rowOff>
    </xdr:from>
    <xdr:to>
      <xdr:col>43</xdr:col>
      <xdr:colOff>833729</xdr:colOff>
      <xdr:row>24</xdr:row>
      <xdr:rowOff>134471</xdr:rowOff>
    </xdr:to>
    <xdr:sp macro="" textlink="">
      <xdr:nvSpPr>
        <xdr:cNvPr id="2" name="Down Arrow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5025117" y="4356847"/>
          <a:ext cx="3666565" cy="717177"/>
        </a:xfrm>
        <a:prstGeom prst="downArrow">
          <a:avLst/>
        </a:prstGeom>
        <a:solidFill>
          <a:schemeClr val="bg2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99</xdr:col>
      <xdr:colOff>17928</xdr:colOff>
      <xdr:row>2</xdr:row>
      <xdr:rowOff>277902</xdr:rowOff>
    </xdr:from>
    <xdr:to>
      <xdr:col>111</xdr:col>
      <xdr:colOff>546847</xdr:colOff>
      <xdr:row>27</xdr:row>
      <xdr:rowOff>161367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113</xdr:col>
      <xdr:colOff>35856</xdr:colOff>
      <xdr:row>3</xdr:row>
      <xdr:rowOff>17927</xdr:rowOff>
    </xdr:from>
    <xdr:to>
      <xdr:col>125</xdr:col>
      <xdr:colOff>510987</xdr:colOff>
      <xdr:row>28</xdr:row>
      <xdr:rowOff>44823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126</xdr:col>
      <xdr:colOff>412372</xdr:colOff>
      <xdr:row>3</xdr:row>
      <xdr:rowOff>35859</xdr:rowOff>
    </xdr:from>
    <xdr:to>
      <xdr:col>140</xdr:col>
      <xdr:colOff>977148</xdr:colOff>
      <xdr:row>15</xdr:row>
      <xdr:rowOff>125506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126</xdr:col>
      <xdr:colOff>403409</xdr:colOff>
      <xdr:row>16</xdr:row>
      <xdr:rowOff>17928</xdr:rowOff>
    </xdr:from>
    <xdr:to>
      <xdr:col>140</xdr:col>
      <xdr:colOff>959220</xdr:colOff>
      <xdr:row>29</xdr:row>
      <xdr:rowOff>8963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141</xdr:col>
      <xdr:colOff>400308</xdr:colOff>
      <xdr:row>3</xdr:row>
      <xdr:rowOff>40748</xdr:rowOff>
    </xdr:from>
    <xdr:to>
      <xdr:col>153</xdr:col>
      <xdr:colOff>403411</xdr:colOff>
      <xdr:row>27</xdr:row>
      <xdr:rowOff>8964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53799</xdr:colOff>
      <xdr:row>10</xdr:row>
      <xdr:rowOff>0</xdr:rowOff>
    </xdr:from>
    <xdr:to>
      <xdr:col>53</xdr:col>
      <xdr:colOff>197234</xdr:colOff>
      <xdr:row>13</xdr:row>
      <xdr:rowOff>125507</xdr:rowOff>
    </xdr:to>
    <xdr:sp macro="" textlink="">
      <xdr:nvSpPr>
        <xdr:cNvPr id="16" name="Down Arrow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42806481" y="2178424"/>
          <a:ext cx="3666565" cy="717177"/>
        </a:xfrm>
        <a:prstGeom prst="downArrow">
          <a:avLst/>
        </a:prstGeom>
        <a:solidFill>
          <a:schemeClr val="bg2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87</xdr:col>
      <xdr:colOff>26892</xdr:colOff>
      <xdr:row>15</xdr:row>
      <xdr:rowOff>98612</xdr:rowOff>
    </xdr:from>
    <xdr:to>
      <xdr:col>92</xdr:col>
      <xdr:colOff>457198</xdr:colOff>
      <xdr:row>19</xdr:row>
      <xdr:rowOff>26895</xdr:rowOff>
    </xdr:to>
    <xdr:sp macro="" textlink="">
      <xdr:nvSpPr>
        <xdr:cNvPr id="19" name="Down Arrow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6984280" y="3263153"/>
          <a:ext cx="3666565" cy="717177"/>
        </a:xfrm>
        <a:prstGeom prst="downArrow">
          <a:avLst/>
        </a:prstGeom>
        <a:solidFill>
          <a:schemeClr val="bg2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154</xdr:col>
      <xdr:colOff>53790</xdr:colOff>
      <xdr:row>3</xdr:row>
      <xdr:rowOff>53789</xdr:rowOff>
    </xdr:from>
    <xdr:to>
      <xdr:col>166</xdr:col>
      <xdr:colOff>156883</xdr:colOff>
      <xdr:row>24</xdr:row>
      <xdr:rowOff>161364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0.06648</cdr:x>
      <cdr:y>0.88584</cdr:y>
    </cdr:from>
    <cdr:to>
      <cdr:x>0.43234</cdr:x>
      <cdr:y>0.96614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6433" y="4164872"/>
          <a:ext cx="2897223" cy="3774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b"/>
        <a:lstStyle xmlns:a="http://schemas.openxmlformats.org/drawingml/2006/main"/>
        <a:p xmlns:a="http://schemas.openxmlformats.org/drawingml/2006/main">
          <a:pPr algn="ctr"/>
          <a:r>
            <a:rPr lang="en-US" sz="2000" u="sng">
              <a:latin typeface="Times New Roman" pitchFamily="18" charset="0"/>
              <a:cs typeface="Times New Roman" pitchFamily="18" charset="0"/>
            </a:rPr>
            <a:t>|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  </a:t>
          </a:r>
          <a:r>
            <a:rPr lang="en-US" sz="2000" u="sng" baseline="30000">
              <a:latin typeface="Times New Roman" pitchFamily="18" charset="0"/>
              <a:cs typeface="Times New Roman" pitchFamily="18" charset="0"/>
            </a:rPr>
            <a:t>Return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sz="2000" u="sng" baseline="30000">
              <a:latin typeface="Times New Roman" pitchFamily="18" charset="0"/>
              <a:cs typeface="Times New Roman" pitchFamily="18" charset="0"/>
            </a:rPr>
            <a:t>on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sz="2000" u="sng" baseline="30000">
              <a:latin typeface="Times New Roman" pitchFamily="18" charset="0"/>
              <a:cs typeface="Times New Roman" pitchFamily="18" charset="0"/>
            </a:rPr>
            <a:t>Market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sz="2000" u="sng" baseline="30000">
              <a:latin typeface="Times New Roman" pitchFamily="18" charset="0"/>
              <a:cs typeface="Times New Roman" pitchFamily="18" charset="0"/>
            </a:rPr>
            <a:t>Comps Value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  |</a:t>
          </a:r>
          <a:endParaRPr lang="en-US" sz="2000" u="sng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0.42713</cdr:x>
      <cdr:y>0.88584</cdr:y>
    </cdr:from>
    <cdr:to>
      <cdr:x>0.98193</cdr:x>
      <cdr:y>0.96614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382398" y="4164872"/>
          <a:ext cx="4393427" cy="3774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b"/>
        <a:lstStyle xmlns:a="http://schemas.openxmlformats.org/drawingml/2006/main"/>
        <a:p xmlns:a="http://schemas.openxmlformats.org/drawingml/2006/main">
          <a:pPr algn="ctr"/>
          <a:r>
            <a:rPr lang="en-US" sz="2000" u="sng">
              <a:latin typeface="Times New Roman" pitchFamily="18" charset="0"/>
              <a:cs typeface="Times New Roman" pitchFamily="18" charset="0"/>
            </a:rPr>
            <a:t>|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          </a:t>
          </a:r>
          <a:r>
            <a:rPr lang="en-US" sz="2000" u="sng" baseline="30000">
              <a:latin typeface="Times New Roman" pitchFamily="18" charset="0"/>
              <a:cs typeface="Times New Roman" pitchFamily="18" charset="0"/>
            </a:rPr>
            <a:t>Return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sz="2000" u="sng" baseline="30000">
              <a:latin typeface="Times New Roman" pitchFamily="18" charset="0"/>
              <a:cs typeface="Times New Roman" pitchFamily="18" charset="0"/>
            </a:rPr>
            <a:t>on Discounted Cash Flow Value</a:t>
          </a:r>
          <a:r>
            <a:rPr lang="en-US" sz="2000" u="sng" baseline="0">
              <a:latin typeface="Times New Roman" pitchFamily="18" charset="0"/>
              <a:cs typeface="Times New Roman" pitchFamily="18" charset="0"/>
            </a:rPr>
            <a:t>            |</a:t>
          </a:r>
          <a:endParaRPr lang="en-US" sz="2000" u="sng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385495</xdr:colOff>
      <xdr:row>115</xdr:row>
      <xdr:rowOff>0</xdr:rowOff>
    </xdr:from>
    <xdr:to>
      <xdr:col>1</xdr:col>
      <xdr:colOff>154165</xdr:colOff>
      <xdr:row>116</xdr:row>
      <xdr:rowOff>8195</xdr:rowOff>
    </xdr:to>
    <xdr:pic>
      <xdr:nvPicPr>
        <xdr:cNvPr id="3" name="Picture 2" descr="groupbutton.bmp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5495" y="4858871"/>
          <a:ext cx="190011" cy="1874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337316</xdr:colOff>
      <xdr:row>206</xdr:row>
      <xdr:rowOff>514</xdr:rowOff>
    </xdr:from>
    <xdr:to>
      <xdr:col>1</xdr:col>
      <xdr:colOff>105986</xdr:colOff>
      <xdr:row>207</xdr:row>
      <xdr:rowOff>8709</xdr:rowOff>
    </xdr:to>
    <xdr:pic>
      <xdr:nvPicPr>
        <xdr:cNvPr id="2" name="Picture 1" descr="groupbutton.bmp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7316" y="10471290"/>
          <a:ext cx="190011" cy="187489"/>
        </a:xfrm>
        <a:prstGeom prst="rect">
          <a:avLst/>
        </a:prstGeom>
      </xdr:spPr>
    </xdr:pic>
    <xdr:clientData/>
  </xdr:twoCellAnchor>
  <xdr:twoCellAnchor editAs="oneCell">
    <xdr:from>
      <xdr:col>1</xdr:col>
      <xdr:colOff>385495</xdr:colOff>
      <xdr:row>189</xdr:row>
      <xdr:rowOff>179288</xdr:rowOff>
    </xdr:from>
    <xdr:to>
      <xdr:col>1</xdr:col>
      <xdr:colOff>575506</xdr:colOff>
      <xdr:row>191</xdr:row>
      <xdr:rowOff>8188</xdr:rowOff>
    </xdr:to>
    <xdr:pic>
      <xdr:nvPicPr>
        <xdr:cNvPr id="4" name="Picture 3" descr="groupbutton.bmp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6836" y="7189688"/>
          <a:ext cx="190011" cy="187489"/>
        </a:xfrm>
        <a:prstGeom prst="rect">
          <a:avLst/>
        </a:prstGeom>
      </xdr:spPr>
    </xdr:pic>
    <xdr:clientData/>
  </xdr:twoCellAnchor>
  <xdr:twoCellAnchor editAs="oneCell">
    <xdr:from>
      <xdr:col>1</xdr:col>
      <xdr:colOff>385495</xdr:colOff>
      <xdr:row>138</xdr:row>
      <xdr:rowOff>179288</xdr:rowOff>
    </xdr:from>
    <xdr:to>
      <xdr:col>1</xdr:col>
      <xdr:colOff>575506</xdr:colOff>
      <xdr:row>140</xdr:row>
      <xdr:rowOff>8188</xdr:rowOff>
    </xdr:to>
    <xdr:pic>
      <xdr:nvPicPr>
        <xdr:cNvPr id="8" name="Picture 7" descr="groupbutton.bmp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6836" y="10811429"/>
          <a:ext cx="190011" cy="187489"/>
        </a:xfrm>
        <a:prstGeom prst="rect">
          <a:avLst/>
        </a:prstGeom>
      </xdr:spPr>
    </xdr:pic>
    <xdr:clientData/>
  </xdr:twoCellAnchor>
  <xdr:twoCellAnchor editAs="oneCell">
    <xdr:from>
      <xdr:col>1</xdr:col>
      <xdr:colOff>385495</xdr:colOff>
      <xdr:row>108</xdr:row>
      <xdr:rowOff>179288</xdr:rowOff>
    </xdr:from>
    <xdr:to>
      <xdr:col>1</xdr:col>
      <xdr:colOff>575506</xdr:colOff>
      <xdr:row>110</xdr:row>
      <xdr:rowOff>8189</xdr:rowOff>
    </xdr:to>
    <xdr:pic>
      <xdr:nvPicPr>
        <xdr:cNvPr id="9" name="Picture 8" descr="groupbutton.bmp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6836" y="8462676"/>
          <a:ext cx="190011" cy="1874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</sheetPr>
  <dimension ref="B1:L31"/>
  <sheetViews>
    <sheetView tabSelected="1" zoomScaleNormal="100" workbookViewId="0"/>
  </sheetViews>
  <sheetFormatPr defaultRowHeight="15" x14ac:dyDescent="0.25"/>
  <cols>
    <col min="1" max="1" width="4.7109375" customWidth="1"/>
    <col min="5" max="5" width="9.140625" customWidth="1"/>
    <col min="6" max="6" width="30.5703125" bestFit="1" customWidth="1"/>
    <col min="8" max="8" width="30.5703125" bestFit="1" customWidth="1"/>
    <col min="10" max="10" width="23.5703125" bestFit="1" customWidth="1"/>
    <col min="12" max="13" width="10.28515625" customWidth="1"/>
    <col min="14" max="14" width="12.28515625" customWidth="1"/>
  </cols>
  <sheetData>
    <row r="1" spans="2:10" x14ac:dyDescent="0.25">
      <c r="C1" s="14"/>
    </row>
    <row r="2" spans="2:10" x14ac:dyDescent="0.25">
      <c r="B2" s="594" t="s">
        <v>626</v>
      </c>
      <c r="C2" s="595"/>
      <c r="D2" s="595"/>
      <c r="E2" s="595"/>
      <c r="F2" s="595"/>
      <c r="G2" s="595"/>
      <c r="H2" s="596"/>
    </row>
    <row r="3" spans="2:10" ht="9.75" customHeight="1" x14ac:dyDescent="0.25">
      <c r="C3" s="14"/>
    </row>
    <row r="4" spans="2:10" x14ac:dyDescent="0.25">
      <c r="B4" t="s">
        <v>618</v>
      </c>
    </row>
    <row r="5" spans="2:10" ht="9.75" customHeight="1" x14ac:dyDescent="0.25">
      <c r="C5" s="14"/>
    </row>
    <row r="6" spans="2:10" s="47" customFormat="1" x14ac:dyDescent="0.25">
      <c r="B6" s="47" t="s">
        <v>620</v>
      </c>
    </row>
    <row r="7" spans="2:10" ht="9.75" customHeight="1" x14ac:dyDescent="0.25">
      <c r="C7" s="14"/>
    </row>
    <row r="8" spans="2:10" x14ac:dyDescent="0.25">
      <c r="B8" s="584" t="s">
        <v>616</v>
      </c>
      <c r="C8" s="584"/>
      <c r="D8" s="584"/>
      <c r="F8" s="580" t="s">
        <v>604</v>
      </c>
      <c r="H8" s="579" t="s">
        <v>603</v>
      </c>
      <c r="J8" s="578" t="s">
        <v>617</v>
      </c>
    </row>
    <row r="9" spans="2:10" x14ac:dyDescent="0.25">
      <c r="B9" s="585" t="s">
        <v>619</v>
      </c>
      <c r="C9" s="585"/>
      <c r="D9" s="585"/>
      <c r="F9" s="581" t="s">
        <v>605</v>
      </c>
      <c r="H9" s="583" t="s">
        <v>605</v>
      </c>
      <c r="J9" s="582" t="s">
        <v>194</v>
      </c>
    </row>
    <row r="10" spans="2:10" x14ac:dyDescent="0.25">
      <c r="B10" s="585" t="s">
        <v>414</v>
      </c>
      <c r="C10" s="585"/>
      <c r="D10" s="585"/>
      <c r="F10" s="581" t="s">
        <v>194</v>
      </c>
      <c r="H10" s="583" t="s">
        <v>194</v>
      </c>
      <c r="J10" s="582" t="s">
        <v>414</v>
      </c>
    </row>
    <row r="11" spans="2:10" x14ac:dyDescent="0.25">
      <c r="B11" s="585" t="s">
        <v>602</v>
      </c>
      <c r="C11" s="585"/>
      <c r="D11" s="585"/>
      <c r="F11" s="581" t="s">
        <v>414</v>
      </c>
      <c r="H11" s="583" t="s">
        <v>414</v>
      </c>
      <c r="J11" s="582" t="s">
        <v>602</v>
      </c>
    </row>
    <row r="12" spans="2:10" x14ac:dyDescent="0.25">
      <c r="B12" s="585" t="s">
        <v>606</v>
      </c>
      <c r="C12" s="585"/>
      <c r="D12" s="585"/>
      <c r="F12" s="581" t="s">
        <v>602</v>
      </c>
      <c r="H12" s="583" t="s">
        <v>602</v>
      </c>
    </row>
    <row r="13" spans="2:10" x14ac:dyDescent="0.25">
      <c r="B13" s="585" t="s">
        <v>607</v>
      </c>
      <c r="C13" s="585"/>
      <c r="D13" s="585"/>
    </row>
    <row r="14" spans="2:10" ht="9.75" customHeight="1" x14ac:dyDescent="0.25">
      <c r="C14" s="14"/>
    </row>
    <row r="15" spans="2:10" s="47" customFormat="1" x14ac:dyDescent="0.25">
      <c r="B15" s="47" t="s">
        <v>622</v>
      </c>
    </row>
    <row r="16" spans="2:10" ht="9.75" customHeight="1" x14ac:dyDescent="0.25">
      <c r="C16" s="14"/>
    </row>
    <row r="17" spans="2:12" s="47" customFormat="1" x14ac:dyDescent="0.25">
      <c r="B17" s="586" t="s">
        <v>608</v>
      </c>
      <c r="C17" s="586"/>
      <c r="D17" s="586"/>
    </row>
    <row r="18" spans="2:12" s="47" customFormat="1" x14ac:dyDescent="0.25">
      <c r="B18" s="587" t="s">
        <v>609</v>
      </c>
      <c r="C18" s="587"/>
      <c r="D18" s="587"/>
    </row>
    <row r="19" spans="2:12" s="47" customFormat="1" x14ac:dyDescent="0.25">
      <c r="B19" s="587" t="s">
        <v>610</v>
      </c>
      <c r="C19" s="587"/>
      <c r="D19" s="587"/>
    </row>
    <row r="20" spans="2:12" ht="9.75" customHeight="1" x14ac:dyDescent="0.25">
      <c r="C20" s="14"/>
    </row>
    <row r="21" spans="2:12" s="47" customFormat="1" x14ac:dyDescent="0.25">
      <c r="B21" s="47" t="s">
        <v>621</v>
      </c>
    </row>
    <row r="22" spans="2:12" x14ac:dyDescent="0.25">
      <c r="B22" s="590" t="s">
        <v>623</v>
      </c>
      <c r="C22" s="14"/>
    </row>
    <row r="23" spans="2:12" ht="9.75" customHeight="1" x14ac:dyDescent="0.25">
      <c r="C23" s="14"/>
    </row>
    <row r="24" spans="2:12" s="47" customFormat="1" x14ac:dyDescent="0.25">
      <c r="B24" s="588" t="s">
        <v>611</v>
      </c>
      <c r="C24" s="588"/>
      <c r="D24" s="588"/>
    </row>
    <row r="25" spans="2:12" s="47" customFormat="1" x14ac:dyDescent="0.25">
      <c r="B25" s="589" t="s">
        <v>615</v>
      </c>
      <c r="C25" s="589"/>
      <c r="D25" s="589"/>
    </row>
    <row r="26" spans="2:12" s="47" customFormat="1" x14ac:dyDescent="0.25">
      <c r="B26" s="589" t="s">
        <v>612</v>
      </c>
      <c r="C26" s="589"/>
      <c r="D26" s="589"/>
    </row>
    <row r="27" spans="2:12" s="47" customFormat="1" x14ac:dyDescent="0.25">
      <c r="B27" s="589" t="s">
        <v>613</v>
      </c>
      <c r="C27" s="589"/>
      <c r="D27" s="589"/>
      <c r="I27" s="591" t="s">
        <v>628</v>
      </c>
      <c r="J27" s="592"/>
      <c r="K27" s="592"/>
      <c r="L27" s="593"/>
    </row>
    <row r="28" spans="2:12" s="47" customFormat="1" x14ac:dyDescent="0.25">
      <c r="B28" s="589" t="s">
        <v>614</v>
      </c>
      <c r="C28" s="589"/>
      <c r="D28" s="589"/>
    </row>
    <row r="29" spans="2:12" s="47" customFormat="1" x14ac:dyDescent="0.25"/>
    <row r="30" spans="2:12" s="47" customFormat="1" x14ac:dyDescent="0.25"/>
    <row r="31" spans="2:12" s="47" customFormat="1" x14ac:dyDescent="0.25"/>
  </sheetData>
  <sheetProtection algorithmName="SHA-512" hashValue="7sEd+3jQ+HGM3srQow6+7G30qvARb1NXhDKVL3r14t5GBoXoPQPw5wCZHLuA0Z9CslveUNOwZOjWDYUxll9fNQ==" saltValue="wHi+r3mfor5MgMbpX3x1tQ==" spinCount="100000" sheet="1" objects="1" scenarios="1"/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249977111117893"/>
  </sheetPr>
  <dimension ref="A1:AF41"/>
  <sheetViews>
    <sheetView zoomScale="85" zoomScaleNormal="85" workbookViewId="0">
      <pane xSplit="2" ySplit="4" topLeftCell="C5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5.7109375" customWidth="1"/>
    <col min="2" max="2" width="26.28515625" customWidth="1"/>
    <col min="3" max="3" width="2.85546875" customWidth="1"/>
    <col min="4" max="6" width="8.28515625" bestFit="1" customWidth="1"/>
    <col min="7" max="7" width="9" bestFit="1" customWidth="1"/>
    <col min="8" max="8" width="8.28515625" style="36" bestFit="1" customWidth="1"/>
    <col min="9" max="12" width="8.28515625" bestFit="1" customWidth="1"/>
    <col min="13" max="17" width="9.85546875" style="36" bestFit="1" customWidth="1"/>
    <col min="18" max="21" width="7.28515625" bestFit="1" customWidth="1"/>
    <col min="22" max="22" width="8" customWidth="1"/>
    <col min="23" max="27" width="7.28515625" bestFit="1" customWidth="1"/>
  </cols>
  <sheetData>
    <row r="1" spans="1:32" x14ac:dyDescent="0.25">
      <c r="A1" s="432" t="s">
        <v>547</v>
      </c>
      <c r="H1"/>
      <c r="M1"/>
      <c r="N1"/>
      <c r="O1"/>
      <c r="P1"/>
      <c r="Q1"/>
      <c r="R1" s="367"/>
      <c r="S1" s="367"/>
      <c r="T1" s="367"/>
      <c r="U1" s="367"/>
      <c r="V1" s="367"/>
      <c r="W1" s="367"/>
      <c r="X1" s="367"/>
      <c r="Y1" s="367"/>
      <c r="Z1" s="367"/>
      <c r="AA1" s="367"/>
    </row>
    <row r="2" spans="1:32" ht="15.75" thickBot="1" x14ac:dyDescent="0.3">
      <c r="A2" s="432" t="s">
        <v>0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21" t="s">
        <v>443</v>
      </c>
      <c r="S2" s="367"/>
      <c r="T2" s="367"/>
      <c r="U2" s="367"/>
      <c r="V2" s="367"/>
      <c r="W2" s="367"/>
      <c r="X2" s="367"/>
      <c r="Y2" s="367"/>
      <c r="Z2" s="367"/>
      <c r="AA2" s="367"/>
    </row>
    <row r="3" spans="1:32" ht="15.75" thickBot="1" x14ac:dyDescent="0.3">
      <c r="C3" s="38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4" spans="1:32" s="417" customFormat="1" x14ac:dyDescent="0.25">
      <c r="D4" s="418"/>
      <c r="E4" s="418"/>
      <c r="F4" s="418"/>
      <c r="G4" s="427" t="s">
        <v>474</v>
      </c>
      <c r="H4" s="419">
        <f t="shared" ref="H4:Q4" ca="1" si="0">(H3-NOW())/365</f>
        <v>-3.8153087176560154</v>
      </c>
      <c r="I4" s="419">
        <f t="shared" ca="1" si="0"/>
        <v>-5.9002402245053309</v>
      </c>
      <c r="J4" s="419">
        <f t="shared" ca="1" si="0"/>
        <v>-5.6536648820395774</v>
      </c>
      <c r="K4" s="419">
        <f t="shared" ca="1" si="0"/>
        <v>-5.4016100875190292</v>
      </c>
      <c r="L4" s="419">
        <f t="shared" ca="1" si="0"/>
        <v>-5.1495552929984809</v>
      </c>
      <c r="M4" s="419">
        <f t="shared" ca="1" si="0"/>
        <v>-2.8153087176560154</v>
      </c>
      <c r="N4" s="419">
        <f t="shared" ca="1" si="0"/>
        <v>-1.8125689916286183</v>
      </c>
      <c r="O4" s="419">
        <f t="shared" ca="1" si="0"/>
        <v>-0.81256899162861818</v>
      </c>
      <c r="P4" s="419">
        <f t="shared" ca="1" si="0"/>
        <v>0.1874310083713818</v>
      </c>
      <c r="Q4" s="419">
        <f t="shared" ca="1" si="0"/>
        <v>1.1874310083713817</v>
      </c>
      <c r="R4" s="419">
        <f ca="1">IF(COUNT($P4:Q4)-2&lt;$D$29,Q4+1,0)</f>
        <v>2.1874310083713819</v>
      </c>
      <c r="S4" s="419">
        <f ca="1">IF(COUNT($P4:R4)-2&lt;$D$29,R4+1,0)</f>
        <v>3.1874310083713819</v>
      </c>
      <c r="T4" s="419">
        <f ca="1">IF(COUNT($P4:S4)-2&lt;$D$29,S4+1,0)</f>
        <v>4.1874310083713819</v>
      </c>
      <c r="U4" s="419">
        <f ca="1">IF(COUNT($P4:T4)-2&lt;$D$29,T4+1,0)</f>
        <v>5.1874310083713819</v>
      </c>
      <c r="V4" s="419">
        <f ca="1">IF(COUNT($P4:U4)-2&lt;$D$29,U4+1,0)</f>
        <v>6.1874310083713819</v>
      </c>
      <c r="W4" s="419">
        <f ca="1">IF(COUNT($P4:V4)-2&lt;$D$29,V4+1,0)</f>
        <v>7.1874310083713819</v>
      </c>
      <c r="X4" s="419">
        <f ca="1">IF(COUNT($P4:W4)-2&lt;$D$29,W4+1,0)</f>
        <v>8.1874310083713819</v>
      </c>
      <c r="Y4" s="419">
        <f ca="1">IF(COUNT($P4:X4)-2&lt;$D$29,X4+1,0)</f>
        <v>9.1874310083713819</v>
      </c>
      <c r="Z4" s="419">
        <f ca="1">IF(COUNT($P4:Y4)-2&lt;$D$29,Y4+1,0)</f>
        <v>10.187431008371382</v>
      </c>
      <c r="AA4" s="419">
        <f ca="1">IF(COUNT($P4:Z4)-2&lt;$D$29,Z4+1,0)</f>
        <v>11.187431008371382</v>
      </c>
      <c r="AB4" s="420"/>
      <c r="AC4" s="420"/>
      <c r="AD4" s="420"/>
      <c r="AE4" s="420"/>
      <c r="AF4" s="420"/>
    </row>
    <row r="5" spans="1:32" s="14" customFormat="1" x14ac:dyDescent="0.25">
      <c r="A5" s="14" t="s">
        <v>2</v>
      </c>
      <c r="D5" s="39">
        <v>400939</v>
      </c>
      <c r="E5" s="39">
        <v>229083</v>
      </c>
      <c r="F5" s="39">
        <v>161309</v>
      </c>
      <c r="G5" s="39">
        <v>598905.5</v>
      </c>
      <c r="H5" s="39">
        <v>870658.12</v>
      </c>
      <c r="I5" s="247">
        <f>$M5/4</f>
        <v>213496.41063</v>
      </c>
      <c r="J5" s="247">
        <f t="shared" ref="J5:L5" si="1">$M5/4</f>
        <v>213496.41063</v>
      </c>
      <c r="K5" s="247">
        <f t="shared" si="1"/>
        <v>213496.41063</v>
      </c>
      <c r="L5" s="247">
        <f t="shared" si="1"/>
        <v>213496.41063</v>
      </c>
      <c r="M5" s="247">
        <f>Biz1drivers!N6</f>
        <v>853985.64251999999</v>
      </c>
      <c r="N5" s="128">
        <f>Biz1drivers!O6</f>
        <v>992948.46754574112</v>
      </c>
      <c r="O5" s="128">
        <f>Biz1drivers!P6</f>
        <v>1029545.0003627623</v>
      </c>
      <c r="P5" s="128">
        <f>Biz1drivers!Q6</f>
        <v>999885.97120860277</v>
      </c>
      <c r="Q5" s="128">
        <f>Biz1drivers!R6</f>
        <v>675555.58558671176</v>
      </c>
      <c r="R5" s="369"/>
      <c r="S5" s="369"/>
      <c r="T5" s="369"/>
      <c r="U5" s="369"/>
      <c r="V5" s="369"/>
      <c r="W5" s="369"/>
      <c r="X5" s="370"/>
      <c r="Y5" s="370"/>
      <c r="Z5" s="370"/>
      <c r="AA5" s="370"/>
      <c r="AB5" s="370"/>
      <c r="AC5" s="370"/>
      <c r="AD5" s="370"/>
    </row>
    <row r="6" spans="1:32" s="14" customFormat="1" x14ac:dyDescent="0.25">
      <c r="B6" s="14" t="s">
        <v>3</v>
      </c>
      <c r="D6" s="39">
        <v>403769</v>
      </c>
      <c r="E6" s="39">
        <v>256093</v>
      </c>
      <c r="F6" s="39">
        <v>161351</v>
      </c>
      <c r="G6" s="39">
        <v>563940</v>
      </c>
      <c r="H6" s="39">
        <v>800692.58129999996</v>
      </c>
      <c r="I6" s="247">
        <f>$M6/4</f>
        <v>197227.73449785</v>
      </c>
      <c r="J6" s="247">
        <f t="shared" ref="J6:L6" si="2">$M6/4</f>
        <v>197227.73449785</v>
      </c>
      <c r="K6" s="247">
        <f t="shared" si="2"/>
        <v>197227.73449785</v>
      </c>
      <c r="L6" s="247">
        <f t="shared" si="2"/>
        <v>197227.73449785</v>
      </c>
      <c r="M6" s="247">
        <f>Biz1drivers!N7</f>
        <v>788910.93799140002</v>
      </c>
      <c r="N6" s="128">
        <f>Biz1drivers!O7</f>
        <v>913975.94370540534</v>
      </c>
      <c r="O6" s="128">
        <f>Biz1drivers!P7</f>
        <v>946820.27871997526</v>
      </c>
      <c r="P6" s="128">
        <f>Biz1drivers!Q7</f>
        <v>919024.25017425907</v>
      </c>
      <c r="Q6" s="128">
        <f>Biz1drivers!R7</f>
        <v>619403.28802023304</v>
      </c>
      <c r="R6" s="369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</row>
    <row r="7" spans="1:32" s="14" customFormat="1" x14ac:dyDescent="0.25">
      <c r="A7" s="14" t="s">
        <v>4</v>
      </c>
      <c r="D7" s="35">
        <f t="shared" ref="D7:Q7" si="3">D5-D6</f>
        <v>-2830</v>
      </c>
      <c r="E7" s="35">
        <f t="shared" si="3"/>
        <v>-27010</v>
      </c>
      <c r="F7" s="35">
        <f t="shared" si="3"/>
        <v>-42</v>
      </c>
      <c r="G7" s="35">
        <f t="shared" si="3"/>
        <v>34965.5</v>
      </c>
      <c r="H7" s="35">
        <f t="shared" si="3"/>
        <v>69965.538700000034</v>
      </c>
      <c r="I7" s="35">
        <f t="shared" si="3"/>
        <v>16268.676132149994</v>
      </c>
      <c r="J7" s="35">
        <f t="shared" si="3"/>
        <v>16268.676132149994</v>
      </c>
      <c r="K7" s="35">
        <f t="shared" si="3"/>
        <v>16268.676132149994</v>
      </c>
      <c r="L7" s="35">
        <f t="shared" si="3"/>
        <v>16268.676132149994</v>
      </c>
      <c r="M7" s="214">
        <f t="shared" si="3"/>
        <v>65074.704528599977</v>
      </c>
      <c r="N7" s="214">
        <f t="shared" si="3"/>
        <v>78972.52384033578</v>
      </c>
      <c r="O7" s="214">
        <f t="shared" si="3"/>
        <v>82724.721642786986</v>
      </c>
      <c r="P7" s="214">
        <f t="shared" si="3"/>
        <v>80861.721034343704</v>
      </c>
      <c r="Q7" s="214">
        <f t="shared" si="3"/>
        <v>56152.297566478723</v>
      </c>
      <c r="R7" s="369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</row>
    <row r="8" spans="1:32" s="41" customFormat="1" x14ac:dyDescent="0.25">
      <c r="A8" s="41" t="s">
        <v>5</v>
      </c>
      <c r="D8" s="42">
        <f t="shared" ref="D8:Q8" si="4">IF(ISERROR(D7/D5),0,D7/D5)</f>
        <v>-7.0584303347890828E-3</v>
      </c>
      <c r="E8" s="42">
        <f t="shared" si="4"/>
        <v>-0.11790486417586639</v>
      </c>
      <c r="F8" s="42">
        <f t="shared" si="4"/>
        <v>-2.6036984917146593E-4</v>
      </c>
      <c r="G8" s="42">
        <f t="shared" si="4"/>
        <v>5.838233243808915E-2</v>
      </c>
      <c r="H8" s="42">
        <f t="shared" si="4"/>
        <v>8.0359370794129886E-2</v>
      </c>
      <c r="I8" s="42">
        <f t="shared" si="4"/>
        <v>7.6201169303705185E-2</v>
      </c>
      <c r="J8" s="42">
        <f t="shared" si="4"/>
        <v>7.6201169303705185E-2</v>
      </c>
      <c r="K8" s="42">
        <f t="shared" si="4"/>
        <v>7.6201169303705185E-2</v>
      </c>
      <c r="L8" s="42">
        <f t="shared" si="4"/>
        <v>7.6201169303705185E-2</v>
      </c>
      <c r="M8" s="42">
        <f t="shared" si="4"/>
        <v>7.6201169303705185E-2</v>
      </c>
      <c r="N8" s="42">
        <f t="shared" si="4"/>
        <v>7.9533355880523418E-2</v>
      </c>
      <c r="O8" s="42">
        <f t="shared" si="4"/>
        <v>8.0350758455083326E-2</v>
      </c>
      <c r="P8" s="42">
        <f t="shared" si="4"/>
        <v>8.0870942650193262E-2</v>
      </c>
      <c r="Q8" s="42">
        <f t="shared" si="4"/>
        <v>8.312017362377537E-2</v>
      </c>
      <c r="R8" s="369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</row>
    <row r="9" spans="1:32" s="14" customFormat="1" x14ac:dyDescent="0.25">
      <c r="B9" s="14" t="s">
        <v>6</v>
      </c>
      <c r="D9" s="39">
        <v>15433.586000000001</v>
      </c>
      <c r="E9" s="39">
        <v>5691.0020000000004</v>
      </c>
      <c r="F9" s="39">
        <v>11385.722</v>
      </c>
      <c r="G9" s="39">
        <v>18558.953001374459</v>
      </c>
      <c r="H9" s="39">
        <v>24344.818868629511</v>
      </c>
      <c r="I9" s="246">
        <f>$M9/4</f>
        <v>6667.1061813333927</v>
      </c>
      <c r="J9" s="246">
        <f>$M9/4</f>
        <v>6667.1061813333927</v>
      </c>
      <c r="K9" s="246">
        <f>$M9/4</f>
        <v>6667.1061813333927</v>
      </c>
      <c r="L9" s="246">
        <f>$M9/4</f>
        <v>6667.1061813333927</v>
      </c>
      <c r="M9" s="246">
        <f>Biz1drivers!N24</f>
        <v>26668.424725333571</v>
      </c>
      <c r="N9" s="243">
        <f>Biz1drivers!O24</f>
        <v>29648.581910577523</v>
      </c>
      <c r="O9" s="243">
        <f>Biz1drivers!P24</f>
        <v>30757.232895620815</v>
      </c>
      <c r="P9" s="243">
        <f>Biz1drivers!Q24</f>
        <v>31216.784853617501</v>
      </c>
      <c r="Q9" s="243">
        <f>Biz1drivers!R24</f>
        <v>26682.224146287925</v>
      </c>
      <c r="R9" s="369"/>
      <c r="S9" s="370"/>
      <c r="T9" s="370"/>
      <c r="U9" s="370"/>
      <c r="V9" s="370"/>
      <c r="W9" s="370"/>
      <c r="X9" s="370"/>
      <c r="Y9" s="370"/>
      <c r="Z9" s="370"/>
      <c r="AA9" s="370"/>
      <c r="AB9" s="370"/>
      <c r="AC9" s="370"/>
      <c r="AD9" s="370"/>
    </row>
    <row r="10" spans="1:32" s="14" customFormat="1" x14ac:dyDescent="0.25">
      <c r="A10" s="14" t="s">
        <v>16</v>
      </c>
      <c r="D10" s="35">
        <f>D7-D9</f>
        <v>-18263.586000000003</v>
      </c>
      <c r="E10" s="35">
        <f t="shared" ref="E10:Q10" si="5">E7-E9</f>
        <v>-32701.002</v>
      </c>
      <c r="F10" s="35">
        <f t="shared" si="5"/>
        <v>-11427.722</v>
      </c>
      <c r="G10" s="35">
        <f t="shared" si="5"/>
        <v>16406.546998625541</v>
      </c>
      <c r="H10" s="35">
        <f t="shared" si="5"/>
        <v>45620.719831370523</v>
      </c>
      <c r="I10" s="35">
        <f t="shared" si="5"/>
        <v>9601.5699508166017</v>
      </c>
      <c r="J10" s="35">
        <f t="shared" si="5"/>
        <v>9601.5699508166017</v>
      </c>
      <c r="K10" s="35">
        <f t="shared" si="5"/>
        <v>9601.5699508166017</v>
      </c>
      <c r="L10" s="35">
        <f t="shared" si="5"/>
        <v>9601.5699508166017</v>
      </c>
      <c r="M10" s="35">
        <f t="shared" si="5"/>
        <v>38406.279803266407</v>
      </c>
      <c r="N10" s="35">
        <f t="shared" si="5"/>
        <v>49323.941929758257</v>
      </c>
      <c r="O10" s="35">
        <f t="shared" si="5"/>
        <v>51967.488747166171</v>
      </c>
      <c r="P10" s="35">
        <f t="shared" si="5"/>
        <v>49644.936180726203</v>
      </c>
      <c r="Q10" s="35">
        <f t="shared" si="5"/>
        <v>29470.073420190798</v>
      </c>
      <c r="R10"/>
    </row>
    <row r="11" spans="1:32" s="14" customFormat="1" x14ac:dyDescent="0.25">
      <c r="B11" s="14" t="s">
        <v>8</v>
      </c>
      <c r="D11" s="39"/>
      <c r="E11" s="39"/>
      <c r="F11" s="39"/>
      <c r="G11" s="39"/>
      <c r="H11" s="39"/>
      <c r="I11" s="39">
        <f t="shared" ref="I11:L12" si="6">$M11/4</f>
        <v>0</v>
      </c>
      <c r="J11" s="39">
        <f t="shared" si="6"/>
        <v>0</v>
      </c>
      <c r="K11" s="39">
        <f t="shared" si="6"/>
        <v>0</v>
      </c>
      <c r="L11" s="39">
        <f t="shared" si="6"/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69"/>
      <c r="S11" s="370"/>
      <c r="T11" s="370"/>
      <c r="U11" s="370"/>
      <c r="V11" s="370"/>
      <c r="W11" s="370"/>
      <c r="X11" s="370"/>
      <c r="Y11" s="370"/>
      <c r="Z11" s="370"/>
      <c r="AA11" s="370"/>
      <c r="AB11" s="370"/>
      <c r="AC11" s="370"/>
      <c r="AD11" s="370"/>
    </row>
    <row r="12" spans="1:32" s="14" customFormat="1" x14ac:dyDescent="0.25">
      <c r="B12" s="14" t="s">
        <v>15</v>
      </c>
      <c r="D12" s="39">
        <v>8434.7849999999999</v>
      </c>
      <c r="E12" s="39">
        <v>9556.43</v>
      </c>
      <c r="F12" s="39">
        <v>9151.1989999999987</v>
      </c>
      <c r="G12" s="39">
        <v>8360.6229999999996</v>
      </c>
      <c r="H12" s="39">
        <v>8800</v>
      </c>
      <c r="I12" s="39">
        <f t="shared" si="6"/>
        <v>2437.5</v>
      </c>
      <c r="J12" s="39">
        <f t="shared" si="6"/>
        <v>2437.5</v>
      </c>
      <c r="K12" s="39">
        <f t="shared" si="6"/>
        <v>2437.5</v>
      </c>
      <c r="L12" s="39">
        <f t="shared" si="6"/>
        <v>2437.5</v>
      </c>
      <c r="M12" s="39">
        <v>9750</v>
      </c>
      <c r="N12" s="39">
        <v>10250</v>
      </c>
      <c r="O12" s="39">
        <v>10500</v>
      </c>
      <c r="P12" s="39">
        <v>10500</v>
      </c>
      <c r="Q12" s="39">
        <v>10500</v>
      </c>
      <c r="R12"/>
    </row>
    <row r="13" spans="1:32" s="14" customFormat="1" x14ac:dyDescent="0.25">
      <c r="A13" s="14" t="s">
        <v>17</v>
      </c>
      <c r="D13" s="35">
        <f>D10-D11-D12</f>
        <v>-26698.371000000003</v>
      </c>
      <c r="E13" s="35">
        <f t="shared" ref="E13:Q13" si="7">E10-E11-E12</f>
        <v>-42257.432000000001</v>
      </c>
      <c r="F13" s="35">
        <f t="shared" si="7"/>
        <v>-20578.920999999998</v>
      </c>
      <c r="G13" s="35">
        <f t="shared" si="7"/>
        <v>8045.9239986255416</v>
      </c>
      <c r="H13" s="35">
        <f t="shared" si="7"/>
        <v>36820.719831370523</v>
      </c>
      <c r="I13" s="35">
        <f t="shared" si="7"/>
        <v>7164.0699508166017</v>
      </c>
      <c r="J13" s="35">
        <f t="shared" si="7"/>
        <v>7164.0699508166017</v>
      </c>
      <c r="K13" s="35">
        <f t="shared" si="7"/>
        <v>7164.0699508166017</v>
      </c>
      <c r="L13" s="35">
        <f t="shared" si="7"/>
        <v>7164.0699508166017</v>
      </c>
      <c r="M13" s="35">
        <f t="shared" si="7"/>
        <v>28656.279803266407</v>
      </c>
      <c r="N13" s="35">
        <f t="shared" si="7"/>
        <v>39073.941929758257</v>
      </c>
      <c r="O13" s="35">
        <f t="shared" si="7"/>
        <v>41467.488747166171</v>
      </c>
      <c r="P13" s="35">
        <f t="shared" si="7"/>
        <v>39144.936180726203</v>
      </c>
      <c r="Q13" s="35">
        <f t="shared" si="7"/>
        <v>18970.073420190798</v>
      </c>
      <c r="R13"/>
    </row>
    <row r="14" spans="1:32" s="14" customFormat="1" x14ac:dyDescent="0.25">
      <c r="B14" s="14" t="s">
        <v>7</v>
      </c>
      <c r="D14" s="28">
        <f>Debt!D27+Debt!D28+Debt!D40</f>
        <v>729.07899999999995</v>
      </c>
      <c r="E14" s="28">
        <f>Debt!E27+Debt!E28+Debt!E40</f>
        <v>3232.6219999999998</v>
      </c>
      <c r="F14" s="28">
        <f>Debt!F27+Debt!F28+Debt!F40</f>
        <v>1868.018</v>
      </c>
      <c r="G14" s="28">
        <f>Debt!G27+Debt!G28+Debt!G40</f>
        <v>600.16815112499989</v>
      </c>
      <c r="H14" s="28">
        <f>Debt!H27+Debt!H28+Debt!H40</f>
        <v>824.64712499999996</v>
      </c>
      <c r="I14" s="28">
        <f>Debt!I27+Debt!I28+Debt!I40</f>
        <v>414.22179499999999</v>
      </c>
      <c r="J14" s="28">
        <f>Debt!J27+Debt!J28+Debt!J40</f>
        <v>414.22179499999999</v>
      </c>
      <c r="K14" s="28">
        <f>Debt!K27+Debt!K28+Debt!K40</f>
        <v>414.22179499999999</v>
      </c>
      <c r="L14" s="28">
        <f>Debt!L27+Debt!L28+Debt!L40</f>
        <v>414.22179499999999</v>
      </c>
      <c r="M14" s="28">
        <f>Debt!M27+Debt!M28+Debt!M40</f>
        <v>414.22179499999999</v>
      </c>
      <c r="N14" s="28">
        <f>Debt!N27+Debt!N28+Debt!N40</f>
        <v>450</v>
      </c>
      <c r="O14" s="28">
        <f>Debt!O27+Debt!O28+Debt!O40</f>
        <v>500</v>
      </c>
      <c r="P14" s="28">
        <f>Debt!P27+Debt!P28+Debt!P40</f>
        <v>0</v>
      </c>
      <c r="Q14" s="28">
        <f>Debt!Q27+Debt!Q28+Debt!Q40</f>
        <v>0</v>
      </c>
      <c r="R14" s="369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</row>
    <row r="15" spans="1:32" s="14" customFormat="1" x14ac:dyDescent="0.25">
      <c r="A15" s="14" t="s">
        <v>9</v>
      </c>
      <c r="D15" s="35">
        <f>D13-D14</f>
        <v>-27427.450000000004</v>
      </c>
      <c r="E15" s="35">
        <f t="shared" ref="E15:Q15" si="8">E13-E14</f>
        <v>-45490.054000000004</v>
      </c>
      <c r="F15" s="35">
        <f t="shared" si="8"/>
        <v>-22446.938999999998</v>
      </c>
      <c r="G15" s="35">
        <f t="shared" si="8"/>
        <v>7445.7558475005417</v>
      </c>
      <c r="H15" s="35">
        <f t="shared" si="8"/>
        <v>35996.07270637052</v>
      </c>
      <c r="I15" s="35">
        <f t="shared" si="8"/>
        <v>6749.8481558166013</v>
      </c>
      <c r="J15" s="35">
        <f t="shared" si="8"/>
        <v>6749.8481558166013</v>
      </c>
      <c r="K15" s="35">
        <f t="shared" si="8"/>
        <v>6749.8481558166013</v>
      </c>
      <c r="L15" s="35">
        <f t="shared" si="8"/>
        <v>6749.8481558166013</v>
      </c>
      <c r="M15" s="35">
        <f t="shared" si="8"/>
        <v>28242.058008266406</v>
      </c>
      <c r="N15" s="35">
        <f t="shared" si="8"/>
        <v>38623.941929758257</v>
      </c>
      <c r="O15" s="35">
        <f t="shared" si="8"/>
        <v>40967.488747166171</v>
      </c>
      <c r="P15" s="35">
        <f t="shared" si="8"/>
        <v>39144.936180726203</v>
      </c>
      <c r="Q15" s="35">
        <f t="shared" si="8"/>
        <v>18970.073420190798</v>
      </c>
      <c r="R15"/>
    </row>
    <row r="16" spans="1:32" s="14" customFormat="1" x14ac:dyDescent="0.25">
      <c r="B16" s="14" t="s">
        <v>10</v>
      </c>
      <c r="D16" s="39">
        <v>-488.76</v>
      </c>
      <c r="E16" s="39">
        <v>-3278.962</v>
      </c>
      <c r="F16" s="39">
        <v>1387.134</v>
      </c>
      <c r="G16" s="39">
        <v>4200.7780000000002</v>
      </c>
      <c r="H16" s="39">
        <v>18991.092256274111</v>
      </c>
      <c r="I16" s="247">
        <f>I15*$D$28</f>
        <v>2699.9392623266408</v>
      </c>
      <c r="J16" s="247">
        <f>J15*$D$28</f>
        <v>2699.9392623266408</v>
      </c>
      <c r="K16" s="247">
        <f>K15*$D$28</f>
        <v>2699.9392623266408</v>
      </c>
      <c r="L16" s="247">
        <f>L15*$D$28</f>
        <v>2699.9392623266408</v>
      </c>
      <c r="M16" s="247">
        <f>M15*$D$28</f>
        <v>11296.823203306563</v>
      </c>
      <c r="N16" s="128">
        <f t="shared" ref="N16:Q16" si="9">N15*$D$28</f>
        <v>15449.576771903303</v>
      </c>
      <c r="O16" s="128">
        <f t="shared" si="9"/>
        <v>16386.995498866469</v>
      </c>
      <c r="P16" s="128">
        <f t="shared" si="9"/>
        <v>15657.974472290482</v>
      </c>
      <c r="Q16" s="128">
        <f t="shared" si="9"/>
        <v>7588.0293680763198</v>
      </c>
      <c r="R16"/>
      <c r="S16" s="26"/>
      <c r="U16" s="368"/>
    </row>
    <row r="17" spans="1:27" s="14" customFormat="1" x14ac:dyDescent="0.25">
      <c r="A17" s="14" t="s">
        <v>11</v>
      </c>
      <c r="D17" s="35">
        <f t="shared" ref="D17:Q17" si="10">D15-D16</f>
        <v>-26938.690000000006</v>
      </c>
      <c r="E17" s="35">
        <f t="shared" si="10"/>
        <v>-42211.092000000004</v>
      </c>
      <c r="F17" s="35">
        <f t="shared" si="10"/>
        <v>-23834.072999999997</v>
      </c>
      <c r="G17" s="35">
        <f t="shared" si="10"/>
        <v>3244.9778475005414</v>
      </c>
      <c r="H17" s="35">
        <f t="shared" si="10"/>
        <v>17004.980450096409</v>
      </c>
      <c r="I17" s="35">
        <f t="shared" si="10"/>
        <v>4049.9088934899605</v>
      </c>
      <c r="J17" s="35">
        <f t="shared" si="10"/>
        <v>4049.9088934899605</v>
      </c>
      <c r="K17" s="35">
        <f t="shared" si="10"/>
        <v>4049.9088934899605</v>
      </c>
      <c r="L17" s="35">
        <f t="shared" si="10"/>
        <v>4049.9088934899605</v>
      </c>
      <c r="M17" s="214">
        <f t="shared" si="10"/>
        <v>16945.234804959844</v>
      </c>
      <c r="N17" s="214">
        <f t="shared" si="10"/>
        <v>23174.365157854954</v>
      </c>
      <c r="O17" s="214">
        <f t="shared" si="10"/>
        <v>24580.493248299703</v>
      </c>
      <c r="P17" s="214">
        <f t="shared" si="10"/>
        <v>23486.961708435723</v>
      </c>
      <c r="Q17" s="214">
        <f t="shared" si="10"/>
        <v>11382.044052114477</v>
      </c>
      <c r="R17"/>
    </row>
    <row r="18" spans="1:27" s="14" customFormat="1" x14ac:dyDescent="0.25">
      <c r="B18" s="14" t="s">
        <v>12</v>
      </c>
      <c r="D18" s="39">
        <v>872</v>
      </c>
      <c r="E18" s="39">
        <v>-565</v>
      </c>
      <c r="F18" s="39">
        <v>-607.00300000000004</v>
      </c>
      <c r="G18" s="39">
        <v>-592</v>
      </c>
      <c r="H18" s="39">
        <v>-342</v>
      </c>
      <c r="I18" s="39">
        <f t="shared" ref="I18:L18" si="11">$M18/4</f>
        <v>62.5</v>
      </c>
      <c r="J18" s="39">
        <f t="shared" si="11"/>
        <v>62.5</v>
      </c>
      <c r="K18" s="39">
        <f t="shared" si="11"/>
        <v>62.5</v>
      </c>
      <c r="L18" s="39">
        <f t="shared" si="11"/>
        <v>62.5</v>
      </c>
      <c r="M18" s="39">
        <v>250</v>
      </c>
      <c r="N18" s="39">
        <v>500</v>
      </c>
      <c r="O18" s="39">
        <v>500</v>
      </c>
      <c r="P18" s="39">
        <v>500</v>
      </c>
      <c r="Q18" s="39">
        <v>500</v>
      </c>
      <c r="R18"/>
    </row>
    <row r="19" spans="1:27" s="14" customFormat="1" x14ac:dyDescent="0.25">
      <c r="A19" s="14" t="s">
        <v>627</v>
      </c>
      <c r="D19" s="35">
        <f t="shared" ref="D19:Q19" si="12">D17+D18</f>
        <v>-26066.690000000006</v>
      </c>
      <c r="E19" s="35">
        <f t="shared" si="12"/>
        <v>-42776.092000000004</v>
      </c>
      <c r="F19" s="35">
        <f t="shared" si="12"/>
        <v>-24441.075999999997</v>
      </c>
      <c r="G19" s="35">
        <f t="shared" si="12"/>
        <v>2652.9778475005414</v>
      </c>
      <c r="H19" s="35">
        <f t="shared" si="12"/>
        <v>16662.980450096409</v>
      </c>
      <c r="I19" s="35">
        <f t="shared" si="12"/>
        <v>4112.408893489961</v>
      </c>
      <c r="J19" s="35">
        <f t="shared" si="12"/>
        <v>4112.408893489961</v>
      </c>
      <c r="K19" s="35">
        <f t="shared" si="12"/>
        <v>4112.408893489961</v>
      </c>
      <c r="L19" s="35">
        <f t="shared" si="12"/>
        <v>4112.408893489961</v>
      </c>
      <c r="M19" s="35">
        <f t="shared" si="12"/>
        <v>17195.234804959844</v>
      </c>
      <c r="N19" s="35">
        <f t="shared" si="12"/>
        <v>23674.365157854954</v>
      </c>
      <c r="O19" s="35">
        <f t="shared" si="12"/>
        <v>25080.493248299703</v>
      </c>
      <c r="P19" s="35">
        <f t="shared" si="12"/>
        <v>23986.961708435723</v>
      </c>
      <c r="Q19" s="35">
        <f t="shared" si="12"/>
        <v>11882.044052114477</v>
      </c>
      <c r="R19"/>
    </row>
    <row r="20" spans="1:27" s="14" customFormat="1" x14ac:dyDescent="0.25">
      <c r="B20" s="14" t="s">
        <v>14</v>
      </c>
      <c r="D20" s="39">
        <v>3182.0830000000001</v>
      </c>
      <c r="E20" s="39">
        <v>1472</v>
      </c>
      <c r="F20" s="39">
        <v>-4053.9949999999999</v>
      </c>
      <c r="G20" s="39">
        <v>-2100.6109999999999</v>
      </c>
      <c r="H20" s="39">
        <v>-3993.1926828426281</v>
      </c>
      <c r="I20" s="35">
        <f t="shared" ref="I20:L20" si="13">$M20/4</f>
        <v>-746.03323993622917</v>
      </c>
      <c r="J20" s="35">
        <f t="shared" si="13"/>
        <v>-746.03323993622917</v>
      </c>
      <c r="K20" s="35">
        <f t="shared" si="13"/>
        <v>-746.03323993622917</v>
      </c>
      <c r="L20" s="35">
        <f t="shared" si="13"/>
        <v>-746.03323993622917</v>
      </c>
      <c r="M20" s="35">
        <f>-Biz1drivers!N34</f>
        <v>-2984.1329597449167</v>
      </c>
      <c r="N20" s="35">
        <f>-Biz1drivers!O34</f>
        <v>-4591.3280806470393</v>
      </c>
      <c r="O20" s="35">
        <f>-Biz1drivers!P34</f>
        <v>-4942.3488362115768</v>
      </c>
      <c r="P20" s="35">
        <f>-Biz1drivers!Q34</f>
        <v>-5087.8736229105234</v>
      </c>
      <c r="Q20" s="35">
        <f>-Biz1drivers!R34</f>
        <v>-3651.9293989228286</v>
      </c>
      <c r="R20"/>
    </row>
    <row r="21" spans="1:27" s="14" customFormat="1" x14ac:dyDescent="0.25">
      <c r="A21" s="14" t="s">
        <v>13</v>
      </c>
      <c r="D21" s="35">
        <f t="shared" ref="D21:Q21" si="14">D19+D20</f>
        <v>-22884.607000000007</v>
      </c>
      <c r="E21" s="35">
        <f t="shared" si="14"/>
        <v>-41304.092000000004</v>
      </c>
      <c r="F21" s="35">
        <f t="shared" si="14"/>
        <v>-28495.070999999996</v>
      </c>
      <c r="G21" s="35">
        <f t="shared" si="14"/>
        <v>552.36684750054155</v>
      </c>
      <c r="H21" s="35">
        <f t="shared" si="14"/>
        <v>12669.787767253782</v>
      </c>
      <c r="I21" s="35">
        <f t="shared" si="14"/>
        <v>3366.3756535537318</v>
      </c>
      <c r="J21" s="35">
        <f t="shared" si="14"/>
        <v>3366.3756535537318</v>
      </c>
      <c r="K21" s="35">
        <f t="shared" si="14"/>
        <v>3366.3756535537318</v>
      </c>
      <c r="L21" s="35">
        <f t="shared" si="14"/>
        <v>3366.3756535537318</v>
      </c>
      <c r="M21" s="35">
        <f t="shared" si="14"/>
        <v>14211.101845214927</v>
      </c>
      <c r="N21" s="35">
        <f t="shared" si="14"/>
        <v>19083.037077207915</v>
      </c>
      <c r="O21" s="35">
        <f t="shared" si="14"/>
        <v>20138.144412088128</v>
      </c>
      <c r="P21" s="35">
        <f t="shared" si="14"/>
        <v>18899.0880855252</v>
      </c>
      <c r="Q21" s="35">
        <f t="shared" si="14"/>
        <v>8230.1146531916493</v>
      </c>
      <c r="R21"/>
    </row>
    <row r="22" spans="1:27" s="14" customFormat="1" x14ac:dyDescent="0.25">
      <c r="A22" s="14" t="s">
        <v>18</v>
      </c>
      <c r="D22" s="35">
        <f t="shared" ref="D22:Q22" si="15">D13-D16</f>
        <v>-26209.611000000004</v>
      </c>
      <c r="E22" s="35">
        <f t="shared" si="15"/>
        <v>-38978.47</v>
      </c>
      <c r="F22" s="35">
        <f t="shared" si="15"/>
        <v>-21966.055</v>
      </c>
      <c r="G22" s="35">
        <f t="shared" si="15"/>
        <v>3845.1459986255413</v>
      </c>
      <c r="H22" s="35">
        <f t="shared" si="15"/>
        <v>17829.627575096412</v>
      </c>
      <c r="I22" s="35">
        <f t="shared" si="15"/>
        <v>4464.1306884899604</v>
      </c>
      <c r="J22" s="35">
        <f t="shared" si="15"/>
        <v>4464.1306884899604</v>
      </c>
      <c r="K22" s="35">
        <f t="shared" si="15"/>
        <v>4464.1306884899604</v>
      </c>
      <c r="L22" s="35">
        <f t="shared" si="15"/>
        <v>4464.1306884899604</v>
      </c>
      <c r="M22" s="35">
        <f t="shared" si="15"/>
        <v>17359.456599959842</v>
      </c>
      <c r="N22" s="35">
        <f t="shared" si="15"/>
        <v>23624.365157854954</v>
      </c>
      <c r="O22" s="35">
        <f t="shared" si="15"/>
        <v>25080.493248299703</v>
      </c>
      <c r="P22" s="35">
        <f t="shared" si="15"/>
        <v>23486.961708435723</v>
      </c>
      <c r="Q22" s="35">
        <f t="shared" si="15"/>
        <v>11382.044052114477</v>
      </c>
      <c r="R22"/>
    </row>
    <row r="23" spans="1:27" s="14" customFormat="1" x14ac:dyDescent="0.25">
      <c r="B23" s="14" t="s">
        <v>19</v>
      </c>
      <c r="D23" s="35">
        <f>SUM(Biz1cf!D27:D28)</f>
        <v>-19719</v>
      </c>
      <c r="E23" s="35">
        <f>SUM(Biz1cf!E27:E28)</f>
        <v>-8029</v>
      </c>
      <c r="F23" s="35">
        <f>SUM(Biz1cf!F27:F28)</f>
        <v>-7702</v>
      </c>
      <c r="G23" s="35">
        <f>SUM(Biz1cf!G27:G28)</f>
        <v>-19150</v>
      </c>
      <c r="H23" s="35">
        <f>SUM(Biz1cf!H27:H28)</f>
        <v>-18500</v>
      </c>
      <c r="I23" s="35">
        <f>SUM(Biz1cf!I27:I28)</f>
        <v>-3250</v>
      </c>
      <c r="J23" s="35">
        <f>SUM(Biz1cf!J27:J28)</f>
        <v>-3250</v>
      </c>
      <c r="K23" s="35">
        <f>SUM(Biz1cf!K27:K28)</f>
        <v>-3250</v>
      </c>
      <c r="L23" s="35">
        <f>SUM(Biz1cf!L27:L28)</f>
        <v>-3250</v>
      </c>
      <c r="M23" s="35">
        <f>-Biz1drivers!D57</f>
        <v>-13000</v>
      </c>
      <c r="N23" s="35">
        <f>-Biz1drivers!E57</f>
        <v>-14000</v>
      </c>
      <c r="O23" s="35">
        <f>-Biz1drivers!F57</f>
        <v>-14000</v>
      </c>
      <c r="P23" s="35">
        <f>-Biz1drivers!G57</f>
        <v>-14000</v>
      </c>
      <c r="Q23" s="35">
        <f>-Biz1drivers!H57</f>
        <v>-14000</v>
      </c>
      <c r="R23"/>
    </row>
    <row r="24" spans="1:27" s="14" customFormat="1" x14ac:dyDescent="0.25">
      <c r="B24" s="14" t="s">
        <v>20</v>
      </c>
      <c r="D24" s="35">
        <f>SUM(Biz1cf!D12:D18)</f>
        <v>0</v>
      </c>
      <c r="E24" s="35">
        <f>SUM(Biz1cf!E12:E18)</f>
        <v>9581.7895134192077</v>
      </c>
      <c r="F24" s="35">
        <f>SUM(Biz1cf!F12:F18)</f>
        <v>-1977.4384127410208</v>
      </c>
      <c r="G24" s="35">
        <f>SUM(Biz1cf!G12:G18)</f>
        <v>-11103.428229854781</v>
      </c>
      <c r="H24" s="35">
        <f>SUM(Biz1cf!H12:H18)</f>
        <v>18505.677633968855</v>
      </c>
      <c r="I24" s="35">
        <f>SUM(Biz1cf!I12:I18)</f>
        <v>-1247.5295331652596</v>
      </c>
      <c r="J24" s="35">
        <f>SUM(Biz1cf!J12:J18)</f>
        <v>0</v>
      </c>
      <c r="K24" s="35">
        <f>SUM(Biz1cf!K12:K18)</f>
        <v>0</v>
      </c>
      <c r="L24" s="35">
        <f>SUM(Biz1cf!L12:L18)</f>
        <v>0</v>
      </c>
      <c r="M24" s="35">
        <f>SUM(Biz1cf!M12:M18)</f>
        <v>-31523.406166051042</v>
      </c>
      <c r="N24" s="35">
        <f>SUM(Biz1cf!N12:N18)</f>
        <v>6512.5302565970906</v>
      </c>
      <c r="O24" s="35">
        <f>SUM(Biz1cf!O12:O18)</f>
        <v>-505.91143682941015</v>
      </c>
      <c r="P24" s="35">
        <f>SUM(Biz1cf!P12:P18)</f>
        <v>6741.6320490855578</v>
      </c>
      <c r="Q24" s="35">
        <f>SUM(Biz1cf!Q12:Q18)</f>
        <v>1854.1423145189183</v>
      </c>
      <c r="R24"/>
    </row>
    <row r="25" spans="1:27" s="14" customFormat="1" x14ac:dyDescent="0.25">
      <c r="A25" s="14" t="s">
        <v>21</v>
      </c>
      <c r="D25" s="210">
        <f>D22+D12+D23+D24</f>
        <v>-37493.826000000001</v>
      </c>
      <c r="E25" s="210">
        <f>E22+E12+E23+E24</f>
        <v>-27869.250486580793</v>
      </c>
      <c r="F25" s="210">
        <f>F22+F12+F23+F24</f>
        <v>-22494.294412741019</v>
      </c>
      <c r="G25" s="210">
        <f>G22+G12+G23+G24</f>
        <v>-18047.659231229241</v>
      </c>
      <c r="H25" s="210">
        <f>H22+H12+H23+H24</f>
        <v>26635.305209065267</v>
      </c>
      <c r="I25" s="226"/>
      <c r="J25" s="226"/>
      <c r="K25" s="226"/>
      <c r="L25" s="226"/>
      <c r="M25" s="210">
        <f>M22+M12+M23+M24</f>
        <v>-17413.9495660912</v>
      </c>
      <c r="N25" s="210">
        <f>N22+N12+N23+N24</f>
        <v>26386.895414452047</v>
      </c>
      <c r="O25" s="210">
        <f>O22+O12+O23+O24</f>
        <v>21074.581811470292</v>
      </c>
      <c r="P25" s="210">
        <f>IF(P5=0,O25*(1+$D30),P22+P12+P23+P24)</f>
        <v>26728.593757521281</v>
      </c>
      <c r="Q25" s="210">
        <f>IF(Q5=0,P25*(1+$D30),Q22+Q12+Q23+Q24)</f>
        <v>9736.1863666333957</v>
      </c>
      <c r="R25" s="406">
        <f t="shared" ref="R25:AA25" ca="1" si="16">IF(R$4&gt;0,Q25*(1+$D30),"")</f>
        <v>10028.271957632398</v>
      </c>
      <c r="S25" s="406">
        <f t="shared" ca="1" si="16"/>
        <v>10329.12011636137</v>
      </c>
      <c r="T25" s="406">
        <f t="shared" ca="1" si="16"/>
        <v>10638.993719852211</v>
      </c>
      <c r="U25" s="406">
        <f t="shared" ca="1" si="16"/>
        <v>10958.163531447777</v>
      </c>
      <c r="V25" s="406">
        <f t="shared" ca="1" si="16"/>
        <v>11286.90843739121</v>
      </c>
      <c r="W25" s="406">
        <f t="shared" ca="1" si="16"/>
        <v>11625.515690512946</v>
      </c>
      <c r="X25" s="406">
        <f t="shared" ca="1" si="16"/>
        <v>11974.281161228335</v>
      </c>
      <c r="Y25" s="406">
        <f t="shared" ca="1" si="16"/>
        <v>12333.509596065185</v>
      </c>
      <c r="Z25" s="406">
        <f t="shared" ca="1" si="16"/>
        <v>12703.51488394714</v>
      </c>
      <c r="AA25" s="406">
        <f t="shared" ca="1" si="16"/>
        <v>13084.620330465556</v>
      </c>
    </row>
    <row r="26" spans="1:27" s="14" customFormat="1" x14ac:dyDescent="0.25">
      <c r="A26" s="14" t="s">
        <v>426</v>
      </c>
      <c r="D26" s="210"/>
      <c r="E26" s="210"/>
      <c r="F26" s="210"/>
      <c r="G26" s="210"/>
      <c r="H26" s="406">
        <f t="shared" ref="H26:AA26" ca="1" si="17">IF(ISERROR(H25/(1+$D32)^H$4),"",H25/(1+$D32)^H$4)</f>
        <v>42624.862539779846</v>
      </c>
      <c r="I26" s="405">
        <f t="shared" ca="1" si="17"/>
        <v>0</v>
      </c>
      <c r="J26" s="405">
        <f t="shared" ca="1" si="17"/>
        <v>0</v>
      </c>
      <c r="K26" s="405">
        <f t="shared" ca="1" si="17"/>
        <v>0</v>
      </c>
      <c r="L26" s="405">
        <f t="shared" ca="1" si="17"/>
        <v>0</v>
      </c>
      <c r="M26" s="406">
        <f t="shared" ca="1" si="17"/>
        <v>-24636.554904391971</v>
      </c>
      <c r="N26" s="406">
        <f t="shared" ca="1" si="17"/>
        <v>32991.475161873401</v>
      </c>
      <c r="O26" s="406">
        <f t="shared" ca="1" si="17"/>
        <v>23294.306520776987</v>
      </c>
      <c r="P26" s="406">
        <f t="shared" ca="1" si="17"/>
        <v>26118.26427307359</v>
      </c>
      <c r="Q26" s="406">
        <f t="shared" ca="1" si="17"/>
        <v>8410.7449073139815</v>
      </c>
      <c r="R26" s="406">
        <f t="shared" ca="1" si="17"/>
        <v>7658.5943546031049</v>
      </c>
      <c r="S26" s="406">
        <f t="shared" ca="1" si="17"/>
        <v>6973.7066258367895</v>
      </c>
      <c r="T26" s="406">
        <f t="shared" ca="1" si="17"/>
        <v>6350.066585522959</v>
      </c>
      <c r="U26" s="406">
        <f t="shared" ca="1" si="17"/>
        <v>5782.1970157422156</v>
      </c>
      <c r="V26" s="406">
        <f t="shared" ca="1" si="17"/>
        <v>5265.1105116096596</v>
      </c>
      <c r="W26" s="406">
        <f t="shared" ca="1" si="17"/>
        <v>4794.2656785976278</v>
      </c>
      <c r="X26" s="406">
        <f t="shared" ca="1" si="17"/>
        <v>4365.5272470154014</v>
      </c>
      <c r="Y26" s="406">
        <f t="shared" ca="1" si="17"/>
        <v>3975.1297533449347</v>
      </c>
      <c r="Z26" s="406">
        <f t="shared" ca="1" si="17"/>
        <v>3619.6444694581492</v>
      </c>
      <c r="AA26" s="406">
        <f t="shared" ca="1" si="17"/>
        <v>3295.9492892664039</v>
      </c>
    </row>
    <row r="27" spans="1:27" s="14" customFormat="1" x14ac:dyDescent="0.25">
      <c r="H27" s="35"/>
      <c r="I27" s="35"/>
      <c r="J27" s="35"/>
      <c r="K27" s="35"/>
      <c r="L27" s="35"/>
      <c r="M27" s="35"/>
      <c r="N27" s="35"/>
      <c r="O27" s="35"/>
      <c r="Q27" s="35"/>
      <c r="R27" s="35"/>
      <c r="S27" s="365"/>
      <c r="T27" s="365"/>
      <c r="U27" s="365"/>
      <c r="V27" s="365"/>
    </row>
    <row r="28" spans="1:27" s="14" customFormat="1" x14ac:dyDescent="0.25">
      <c r="A28" s="14" t="s">
        <v>206</v>
      </c>
      <c r="D28" s="371">
        <v>0.4</v>
      </c>
      <c r="E28" s="374" t="s">
        <v>430</v>
      </c>
      <c r="H28" s="41"/>
      <c r="K28" s="34"/>
      <c r="R28" s="35"/>
      <c r="S28" s="35"/>
      <c r="T28" s="35"/>
      <c r="U28" s="35"/>
      <c r="V28" s="35"/>
      <c r="W28" s="35"/>
    </row>
    <row r="29" spans="1:27" s="14" customFormat="1" x14ac:dyDescent="0.25">
      <c r="A29" s="14" t="s">
        <v>429</v>
      </c>
      <c r="D29" s="372">
        <v>10</v>
      </c>
      <c r="E29" s="375">
        <f ca="1">MAX(4:4)</f>
        <v>11.187431008371382</v>
      </c>
      <c r="H29" s="41"/>
      <c r="K29" s="34"/>
      <c r="R29" s="35"/>
      <c r="S29" s="35"/>
      <c r="T29" s="35"/>
      <c r="U29" s="35"/>
      <c r="V29" s="35"/>
      <c r="W29" s="35"/>
    </row>
    <row r="30" spans="1:27" s="14" customFormat="1" x14ac:dyDescent="0.25">
      <c r="A30" s="14" t="s">
        <v>428</v>
      </c>
      <c r="D30" s="373">
        <v>0.03</v>
      </c>
      <c r="E30" s="377">
        <f ca="1">(LOOKUP(1000000,25:25)/(D32-D31))   /    (1+D32)^MAX(4:4)</f>
        <v>29651.484303625984</v>
      </c>
      <c r="H30" s="41"/>
      <c r="K30" s="34"/>
      <c r="R30" s="35"/>
      <c r="S30" s="35"/>
      <c r="T30" s="35"/>
      <c r="U30" s="35"/>
      <c r="V30" s="35"/>
      <c r="W30" s="35"/>
    </row>
    <row r="31" spans="1:27" s="31" customFormat="1" x14ac:dyDescent="0.25">
      <c r="A31" s="32" t="s">
        <v>427</v>
      </c>
      <c r="B31" s="29"/>
      <c r="C31" s="14"/>
      <c r="D31" s="373">
        <v>0.02</v>
      </c>
      <c r="E31" s="376" t="s">
        <v>431</v>
      </c>
      <c r="F31" s="14"/>
      <c r="G31" s="14"/>
      <c r="H31" s="41"/>
      <c r="I31" s="14"/>
      <c r="J31" s="14"/>
      <c r="K31" s="14"/>
      <c r="L31" s="14"/>
      <c r="Q31" s="14"/>
      <c r="R31" s="366"/>
      <c r="S31" s="14"/>
      <c r="T31" s="14"/>
      <c r="U31" s="14"/>
      <c r="V31" s="14"/>
    </row>
    <row r="32" spans="1:27" s="31" customFormat="1" ht="15.75" thickBot="1" x14ac:dyDescent="0.3">
      <c r="A32" s="14" t="s">
        <v>22</v>
      </c>
      <c r="C32" s="14"/>
      <c r="D32" s="33">
        <f>Presentation!BA21</f>
        <v>0.13115630015403151</v>
      </c>
      <c r="E32" s="14"/>
      <c r="F32" s="14"/>
      <c r="G32" s="14"/>
      <c r="H32" s="14"/>
      <c r="I32" s="14"/>
      <c r="K32" s="14"/>
      <c r="L32" s="14"/>
      <c r="Q32" s="14"/>
      <c r="R32" s="366"/>
    </row>
    <row r="33" spans="1:20" s="14" customFormat="1" ht="15.75" thickBot="1" x14ac:dyDescent="0.3">
      <c r="A33" s="14" t="s">
        <v>23</v>
      </c>
      <c r="D33" s="436">
        <f ca="1">SUM(26:26)+E30</f>
        <v>190534.77433304902</v>
      </c>
      <c r="E33" s="435">
        <f>Presentation!BP5*1000</f>
        <v>337418.81780384539</v>
      </c>
      <c r="F33" s="513">
        <f ca="1">E33/D33-1</f>
        <v>0.77090412490292981</v>
      </c>
      <c r="M33" s="31"/>
      <c r="N33" s="31"/>
      <c r="O33" s="31"/>
      <c r="P33" s="31"/>
      <c r="R33" s="366"/>
      <c r="T33" s="364"/>
    </row>
    <row r="34" spans="1:20" x14ac:dyDescent="0.25">
      <c r="D34" s="434" t="s">
        <v>447</v>
      </c>
      <c r="E34" s="434" t="s">
        <v>492</v>
      </c>
      <c r="F34" s="30" t="s">
        <v>515</v>
      </c>
      <c r="H34"/>
      <c r="P34" s="14"/>
      <c r="Q34" s="14"/>
      <c r="R34" s="366"/>
    </row>
    <row r="35" spans="1:20" x14ac:dyDescent="0.25">
      <c r="D35" s="434"/>
      <c r="E35" s="434"/>
      <c r="H35"/>
      <c r="P35" s="14"/>
      <c r="Q35" s="14"/>
      <c r="R35" s="366"/>
    </row>
    <row r="36" spans="1:20" s="44" customFormat="1" x14ac:dyDescent="0.25">
      <c r="A36" s="44" t="s">
        <v>24</v>
      </c>
      <c r="D36" s="142">
        <v>5786</v>
      </c>
      <c r="E36" s="142">
        <v>2611</v>
      </c>
      <c r="F36" s="142">
        <v>1907</v>
      </c>
      <c r="G36" s="142">
        <v>8735</v>
      </c>
      <c r="H36" s="142">
        <v>12246</v>
      </c>
      <c r="I36" s="426">
        <f>M36/4</f>
        <v>2833.44</v>
      </c>
      <c r="J36" s="426">
        <f>M36/4</f>
        <v>2833.44</v>
      </c>
      <c r="K36" s="426">
        <f>M36/4</f>
        <v>2833.44</v>
      </c>
      <c r="L36" s="426">
        <f>M36/4</f>
        <v>2833.44</v>
      </c>
      <c r="M36" s="426">
        <f>Biz1drivers!D20</f>
        <v>11333.76</v>
      </c>
      <c r="N36" s="426">
        <f>Biz1drivers!E20</f>
        <v>12771.150000000001</v>
      </c>
      <c r="O36" s="426">
        <f>Biz1drivers!F20</f>
        <v>12974.800000000001</v>
      </c>
      <c r="P36" s="426">
        <f>Biz1drivers!G20</f>
        <v>12524.35</v>
      </c>
      <c r="Q36" s="426">
        <f>Biz1drivers!H20</f>
        <v>7811.1</v>
      </c>
      <c r="R36" s="366"/>
    </row>
    <row r="37" spans="1:20" x14ac:dyDescent="0.25">
      <c r="P37" s="14"/>
      <c r="Q37" s="14"/>
      <c r="R37" s="366"/>
    </row>
    <row r="38" spans="1:20" x14ac:dyDescent="0.25">
      <c r="R38" s="366"/>
    </row>
    <row r="39" spans="1:20" x14ac:dyDescent="0.25">
      <c r="R39" s="366"/>
    </row>
    <row r="40" spans="1:20" x14ac:dyDescent="0.25">
      <c r="R40" s="366"/>
    </row>
    <row r="41" spans="1:20" x14ac:dyDescent="0.25">
      <c r="R41" s="366"/>
    </row>
  </sheetData>
  <sheetProtection algorithmName="SHA-512" hashValue="EZiEo+3qyf1WZDKyeqc3pi9ATtrKKohAgBtw79C8LglWi39SLfL9q4LTxxb1sNRUPLjF/xuKJgvfekk/SolgOg==" saltValue="6JIeezfb7YCqr9lbexzLJg==" spinCount="100000" sheet="1" objects="1" scenarios="1"/>
  <dataValidations disablePrompts="1" count="1">
    <dataValidation type="whole" allowBlank="1" showInputMessage="1" showErrorMessage="1" errorTitle="Years in Terminal Growth Stage 1" error="Input value between 1 and 10" promptTitle="Years in Terminal Stage1 (1-10)" sqref="D29" xr:uid="{00000000-0002-0000-0900-000000000000}">
      <formula1>1</formula1>
      <formula2>10</formula2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1:R49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6.140625" customWidth="1"/>
    <col min="2" max="2" width="31.28515625" customWidth="1"/>
    <col min="3" max="3" width="2.85546875" style="89" customWidth="1"/>
    <col min="4" max="7" width="9.85546875" bestFit="1" customWidth="1"/>
    <col min="8" max="8" width="9.85546875" style="36" bestFit="1" customWidth="1"/>
    <col min="9" max="11" width="8.28515625" bestFit="1" customWidth="1"/>
    <col min="12" max="12" width="9" bestFit="1" customWidth="1"/>
    <col min="13" max="17" width="9.85546875" style="36" bestFit="1" customWidth="1"/>
    <col min="18" max="18" width="4.42578125" customWidth="1"/>
  </cols>
  <sheetData>
    <row r="1" spans="1:18" x14ac:dyDescent="0.25">
      <c r="A1" s="428" t="s">
        <v>547</v>
      </c>
      <c r="H1"/>
      <c r="M1"/>
      <c r="N1"/>
      <c r="O1"/>
      <c r="P1"/>
      <c r="Q1"/>
    </row>
    <row r="2" spans="1:18" ht="15.75" thickBot="1" x14ac:dyDescent="0.3">
      <c r="A2" s="428" t="s">
        <v>25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</row>
    <row r="3" spans="1:18" ht="15.75" thickBot="1" x14ac:dyDescent="0.3">
      <c r="C3" s="90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4" spans="1:18" s="37" customFormat="1" x14ac:dyDescent="0.25">
      <c r="A4" s="1" t="s">
        <v>26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/>
    </row>
    <row r="5" spans="1:18" s="37" customFormat="1" x14ac:dyDescent="0.25">
      <c r="B5" s="97" t="s">
        <v>27</v>
      </c>
      <c r="C5" s="91"/>
      <c r="D5" s="544">
        <v>36512.87999999999</v>
      </c>
      <c r="E5" s="544">
        <v>14402.437513419201</v>
      </c>
      <c r="F5" s="544">
        <v>0.32110067818575772</v>
      </c>
      <c r="G5" s="544">
        <v>6967.1167183239195</v>
      </c>
      <c r="H5" s="544">
        <v>14331.774802389187</v>
      </c>
      <c r="I5" s="544">
        <v>20622.970698874138</v>
      </c>
      <c r="J5" s="544">
        <v>26914.166595359089</v>
      </c>
      <c r="K5" s="544">
        <v>33205.36249184404</v>
      </c>
      <c r="L5" s="544">
        <v>39496.558388328995</v>
      </c>
      <c r="M5" s="544">
        <v>37476.661769186932</v>
      </c>
      <c r="N5" s="544">
        <v>77077.423976968334</v>
      </c>
      <c r="O5" s="544">
        <v>112460.76560543315</v>
      </c>
      <c r="P5" s="544">
        <v>157597.31606102875</v>
      </c>
      <c r="Q5" s="544">
        <v>181898.80982305665</v>
      </c>
      <c r="R5" s="548" t="s">
        <v>519</v>
      </c>
    </row>
    <row r="6" spans="1:18" s="37" customFormat="1" x14ac:dyDescent="0.25">
      <c r="B6" s="97" t="s">
        <v>28</v>
      </c>
      <c r="C6" s="91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549"/>
    </row>
    <row r="7" spans="1:18" s="37" customFormat="1" x14ac:dyDescent="0.25">
      <c r="B7" s="97" t="s">
        <v>98</v>
      </c>
      <c r="C7" s="91"/>
      <c r="D7" s="96">
        <f>D47*Biz1pl!D5/365</f>
        <v>40116.580448119938</v>
      </c>
      <c r="E7" s="96">
        <f>E47*Biz1pl!E5/365</f>
        <v>17380.423016089477</v>
      </c>
      <c r="F7" s="96">
        <f>F47*Biz1pl!F5/365</f>
        <v>12470.349260194816</v>
      </c>
      <c r="G7" s="96">
        <f>G47*Biz1pl!G5/365</f>
        <v>38470.351237076764</v>
      </c>
      <c r="H7" s="96">
        <f>H47*Biz1pl!H5/365</f>
        <v>50018.700913295499</v>
      </c>
      <c r="I7" s="96">
        <f>I47*Biz1pl!I5/365</f>
        <v>44107.134141858114</v>
      </c>
      <c r="J7" s="96">
        <f>J47*Biz1pl!J5/365</f>
        <v>44107.134141858114</v>
      </c>
      <c r="K7" s="96">
        <f>K47*Biz1pl!K5/365</f>
        <v>44107.134141858114</v>
      </c>
      <c r="L7" s="96">
        <f>L47*Biz1pl!L5/365</f>
        <v>44107.134141858114</v>
      </c>
      <c r="M7" s="96">
        <f>M47*Biz1pl!M5/365</f>
        <v>63352.152295844418</v>
      </c>
      <c r="N7" s="96">
        <f>N47*Biz1pl!N5/365</f>
        <v>73627.217394962281</v>
      </c>
      <c r="O7" s="96">
        <f>O47*Biz1pl!O5/365</f>
        <v>76323.239690377886</v>
      </c>
      <c r="P7" s="96">
        <f>P47*Biz1pl!P5/365</f>
        <v>72671.105346185097</v>
      </c>
      <c r="Q7" s="96">
        <f>Q47*Biz1pl!Q5/365</f>
        <v>69697.523274264357</v>
      </c>
      <c r="R7" s="549"/>
    </row>
    <row r="8" spans="1:18" s="37" customFormat="1" x14ac:dyDescent="0.25">
      <c r="B8" s="97" t="s">
        <v>29</v>
      </c>
      <c r="C8" s="91"/>
      <c r="D8" s="96">
        <f>Biz1pl!D6/D46</f>
        <v>65487.768275637573</v>
      </c>
      <c r="E8" s="96">
        <f>Biz1pl!E6/E46</f>
        <v>27187.922083073594</v>
      </c>
      <c r="F8" s="96">
        <f>Biz1pl!F6/F46</f>
        <v>29983.288946440458</v>
      </c>
      <c r="G8" s="96">
        <f>Biz1pl!G6/G46</f>
        <v>99345.119091113185</v>
      </c>
      <c r="H8" s="96">
        <f>Biz1pl!H6/H46</f>
        <v>103895.12256641797</v>
      </c>
      <c r="I8" s="96">
        <f>Biz1pl!I6/I46</f>
        <v>91593.798439850463</v>
      </c>
      <c r="J8" s="96">
        <f>Biz1pl!J6/J46</f>
        <v>91593.798439850463</v>
      </c>
      <c r="K8" s="96">
        <f>Biz1pl!K6/K46</f>
        <v>91593.798439850463</v>
      </c>
      <c r="L8" s="96">
        <f>Biz1pl!L6/L46</f>
        <v>91593.798439850463</v>
      </c>
      <c r="M8" s="96">
        <f>Biz1pl!M6/M46</f>
        <v>121700.91263659157</v>
      </c>
      <c r="N8" s="96">
        <f>Biz1pl!N6/N46</f>
        <v>130877.38662221604</v>
      </c>
      <c r="O8" s="96">
        <f>Biz1pl!O6/O46</f>
        <v>135561.66569175691</v>
      </c>
      <c r="P8" s="96">
        <f>Biz1pl!P6/P46</f>
        <v>129001.91134143429</v>
      </c>
      <c r="Q8" s="96">
        <f>Biz1pl!Q6/Q46</f>
        <v>123838.19051637306</v>
      </c>
      <c r="R8" s="549"/>
    </row>
    <row r="9" spans="1:18" s="37" customFormat="1" x14ac:dyDescent="0.25">
      <c r="B9" s="97" t="s">
        <v>30</v>
      </c>
      <c r="C9" s="91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549"/>
    </row>
    <row r="10" spans="1:18" s="37" customFormat="1" x14ac:dyDescent="0.25">
      <c r="B10" s="97" t="s">
        <v>31</v>
      </c>
      <c r="C10" s="91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549"/>
    </row>
    <row r="11" spans="1:18" s="37" customFormat="1" x14ac:dyDescent="0.25">
      <c r="B11" s="97" t="s">
        <v>32</v>
      </c>
      <c r="C11" s="91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549"/>
    </row>
    <row r="12" spans="1:18" s="37" customFormat="1" x14ac:dyDescent="0.25">
      <c r="B12" s="138" t="s">
        <v>33</v>
      </c>
      <c r="C12" s="91"/>
      <c r="D12" s="124">
        <v>136506</v>
      </c>
      <c r="E12" s="124">
        <v>127974</v>
      </c>
      <c r="F12" s="124">
        <v>132614</v>
      </c>
      <c r="G12" s="124">
        <v>163521.23184325313</v>
      </c>
      <c r="H12" s="124">
        <v>177329.42348508851</v>
      </c>
      <c r="I12" s="124">
        <v>177329.42348508851</v>
      </c>
      <c r="J12" s="124">
        <v>177329.42348508851</v>
      </c>
      <c r="K12" s="124">
        <v>177329.42348508851</v>
      </c>
      <c r="L12" s="124">
        <v>177329.42348508851</v>
      </c>
      <c r="M12" s="124">
        <v>181172.25216997066</v>
      </c>
      <c r="N12" s="124">
        <v>185280.10821160342</v>
      </c>
      <c r="O12" s="124">
        <v>189256.5219349995</v>
      </c>
      <c r="P12" s="124">
        <v>189256.5219349995</v>
      </c>
      <c r="Q12" s="124">
        <v>189256.5219349995</v>
      </c>
      <c r="R12" s="549"/>
    </row>
    <row r="13" spans="1:18" s="37" customFormat="1" x14ac:dyDescent="0.25">
      <c r="B13" s="139" t="s">
        <v>34</v>
      </c>
      <c r="C13" s="91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549"/>
    </row>
    <row r="14" spans="1:18" s="97" customFormat="1" x14ac:dyDescent="0.25">
      <c r="B14" s="97" t="s">
        <v>35</v>
      </c>
      <c r="C14" s="91"/>
      <c r="D14" s="96">
        <f t="shared" ref="D14:Q14" si="0">D12-D13</f>
        <v>136506</v>
      </c>
      <c r="E14" s="96">
        <f t="shared" si="0"/>
        <v>127974</v>
      </c>
      <c r="F14" s="96">
        <f t="shared" si="0"/>
        <v>132614</v>
      </c>
      <c r="G14" s="96">
        <f t="shared" si="0"/>
        <v>163521.23184325313</v>
      </c>
      <c r="H14" s="96">
        <f t="shared" si="0"/>
        <v>177329.42348508851</v>
      </c>
      <c r="I14" s="96">
        <f t="shared" si="0"/>
        <v>177329.42348508851</v>
      </c>
      <c r="J14" s="96">
        <f t="shared" si="0"/>
        <v>177329.42348508851</v>
      </c>
      <c r="K14" s="96">
        <f t="shared" si="0"/>
        <v>177329.42348508851</v>
      </c>
      <c r="L14" s="96">
        <f t="shared" si="0"/>
        <v>177329.42348508851</v>
      </c>
      <c r="M14" s="96">
        <f t="shared" si="0"/>
        <v>181172.25216997066</v>
      </c>
      <c r="N14" s="96">
        <f t="shared" si="0"/>
        <v>185280.10821160342</v>
      </c>
      <c r="O14" s="96">
        <f t="shared" si="0"/>
        <v>189256.5219349995</v>
      </c>
      <c r="P14" s="96">
        <f t="shared" si="0"/>
        <v>189256.5219349995</v>
      </c>
      <c r="Q14" s="96">
        <f t="shared" si="0"/>
        <v>189256.5219349995</v>
      </c>
      <c r="R14" s="549"/>
    </row>
    <row r="15" spans="1:18" s="37" customFormat="1" x14ac:dyDescent="0.25">
      <c r="B15" s="97" t="s">
        <v>36</v>
      </c>
      <c r="C15" s="91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549"/>
    </row>
    <row r="16" spans="1:18" s="37" customFormat="1" x14ac:dyDescent="0.25">
      <c r="B16" s="140" t="s">
        <v>97</v>
      </c>
      <c r="C16" s="91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549"/>
    </row>
    <row r="17" spans="1:18" s="97" customFormat="1" x14ac:dyDescent="0.25">
      <c r="A17" s="1" t="s">
        <v>37</v>
      </c>
      <c r="C17" s="91"/>
      <c r="D17" s="96">
        <f t="shared" ref="D17:Q17" si="1">SUM(D5,D6,D7,D8,D9,D10,D11,D14,D15,D16)</f>
        <v>278623.22872375749</v>
      </c>
      <c r="E17" s="96">
        <f t="shared" si="1"/>
        <v>186944.78261258226</v>
      </c>
      <c r="F17" s="96">
        <f t="shared" si="1"/>
        <v>175067.95930731346</v>
      </c>
      <c r="G17" s="96">
        <f t="shared" si="1"/>
        <v>308303.81888976699</v>
      </c>
      <c r="H17" s="96">
        <f t="shared" si="1"/>
        <v>345575.02176719118</v>
      </c>
      <c r="I17" s="96">
        <f t="shared" si="1"/>
        <v>333653.32676567126</v>
      </c>
      <c r="J17" s="96">
        <f t="shared" si="1"/>
        <v>339944.52266215615</v>
      </c>
      <c r="K17" s="96">
        <f t="shared" si="1"/>
        <v>346235.71855864115</v>
      </c>
      <c r="L17" s="96">
        <f t="shared" si="1"/>
        <v>352526.9144551261</v>
      </c>
      <c r="M17" s="96">
        <f t="shared" si="1"/>
        <v>403701.9788715936</v>
      </c>
      <c r="N17" s="96">
        <f t="shared" si="1"/>
        <v>466862.13620575005</v>
      </c>
      <c r="O17" s="96">
        <f t="shared" si="1"/>
        <v>513602.19292256748</v>
      </c>
      <c r="P17" s="96">
        <f t="shared" si="1"/>
        <v>548526.85468364763</v>
      </c>
      <c r="Q17" s="96">
        <f t="shared" si="1"/>
        <v>564691.04554869351</v>
      </c>
      <c r="R17" s="549"/>
    </row>
    <row r="18" spans="1:18" s="97" customFormat="1" x14ac:dyDescent="0.25">
      <c r="A18" s="1"/>
      <c r="C18" s="91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549"/>
    </row>
    <row r="19" spans="1:18" s="55" customFormat="1" x14ac:dyDescent="0.25">
      <c r="A19" s="43" t="s">
        <v>38</v>
      </c>
      <c r="B19" s="63"/>
      <c r="C19" s="89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  <c r="O19" s="546"/>
      <c r="P19" s="546"/>
      <c r="Q19" s="546"/>
      <c r="R19" s="549"/>
    </row>
    <row r="20" spans="1:18" s="55" customFormat="1" x14ac:dyDescent="0.25">
      <c r="B20" s="63" t="s">
        <v>39</v>
      </c>
      <c r="C20" s="89"/>
      <c r="D20" s="64">
        <f>Debt!D33</f>
        <v>0</v>
      </c>
      <c r="E20" s="64">
        <f>Debt!E33</f>
        <v>0</v>
      </c>
      <c r="F20" s="64">
        <f>Debt!F33</f>
        <v>0</v>
      </c>
      <c r="G20" s="64">
        <f>Debt!G33</f>
        <v>18250</v>
      </c>
      <c r="H20" s="64">
        <f>Debt!H33</f>
        <v>-8250</v>
      </c>
      <c r="I20" s="64">
        <f>Debt!I33</f>
        <v>0</v>
      </c>
      <c r="J20" s="64">
        <f>Debt!J33</f>
        <v>0</v>
      </c>
      <c r="K20" s="64">
        <f>Debt!K33</f>
        <v>0</v>
      </c>
      <c r="L20" s="64">
        <f>Debt!L33</f>
        <v>0</v>
      </c>
      <c r="M20" s="64">
        <f>Debt!M33</f>
        <v>0</v>
      </c>
      <c r="N20" s="64">
        <f>Debt!N33</f>
        <v>0</v>
      </c>
      <c r="O20" s="64">
        <f>Debt!O33</f>
        <v>0</v>
      </c>
      <c r="P20" s="64">
        <f>Debt!P33</f>
        <v>0</v>
      </c>
      <c r="Q20" s="64">
        <f>Debt!Q33</f>
        <v>0</v>
      </c>
      <c r="R20" s="549"/>
    </row>
    <row r="21" spans="1:18" s="55" customFormat="1" x14ac:dyDescent="0.25">
      <c r="B21" s="55" t="s">
        <v>124</v>
      </c>
      <c r="C21" s="89"/>
      <c r="D21" s="64">
        <f>D48*Biz1pl!D6/365</f>
        <v>98208.181215727192</v>
      </c>
      <c r="E21" s="64">
        <f>E48*Biz1pl!E6/365</f>
        <v>47310.967104551964</v>
      </c>
      <c r="F21" s="64">
        <f>F48*Biz1pl!F6/365</f>
        <v>44793.421799283147</v>
      </c>
      <c r="G21" s="64">
        <f>G48*Biz1pl!G6/365</f>
        <v>129474.77569098304</v>
      </c>
      <c r="H21" s="64">
        <f>H48*Biz1pl!H6/365</f>
        <v>164359.76689077052</v>
      </c>
      <c r="I21" s="64">
        <f>I48*Biz1pl!I6/365</f>
        <v>144899.34645960038</v>
      </c>
      <c r="J21" s="64">
        <f>J48*Biz1pl!J6/365</f>
        <v>144899.34645960038</v>
      </c>
      <c r="K21" s="64">
        <f>K48*Biz1pl!K6/365</f>
        <v>144899.34645960038</v>
      </c>
      <c r="L21" s="64">
        <f>L48*Biz1pl!L6/365</f>
        <v>144899.34645960038</v>
      </c>
      <c r="M21" s="64">
        <f>M48*Biz1pl!M6/365</f>
        <v>162545.73948037915</v>
      </c>
      <c r="N21" s="64">
        <f>N48*Biz1pl!N6/365</f>
        <v>188248.29582647514</v>
      </c>
      <c r="O21" s="64">
        <f>O48*Biz1pl!O6/365</f>
        <v>194985.95750184212</v>
      </c>
      <c r="P21" s="64">
        <f>P48*Biz1pl!P6/365</f>
        <v>191515.70085641227</v>
      </c>
      <c r="Q21" s="64">
        <f>Q48*Biz1pl!Q6/365</f>
        <v>185232.54027394921</v>
      </c>
      <c r="R21" s="549"/>
    </row>
    <row r="22" spans="1:18" s="55" customFormat="1" x14ac:dyDescent="0.25">
      <c r="B22" s="63" t="s">
        <v>40</v>
      </c>
      <c r="C22" s="89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549"/>
    </row>
    <row r="23" spans="1:18" s="55" customFormat="1" x14ac:dyDescent="0.25">
      <c r="B23" s="63" t="s">
        <v>41</v>
      </c>
      <c r="C23" s="89"/>
      <c r="D23" s="98">
        <v>4407</v>
      </c>
      <c r="E23" s="98">
        <v>3850</v>
      </c>
      <c r="F23" s="98">
        <v>2275.4</v>
      </c>
      <c r="G23" s="98">
        <v>1852.45</v>
      </c>
      <c r="H23" s="98">
        <v>1571.4895857048812</v>
      </c>
      <c r="I23" s="98">
        <f>$H23</f>
        <v>1571.4895857048812</v>
      </c>
      <c r="J23" s="98">
        <f t="shared" ref="J23:L23" si="2">$H23</f>
        <v>1571.4895857048812</v>
      </c>
      <c r="K23" s="98">
        <f t="shared" si="2"/>
        <v>1571.4895857048812</v>
      </c>
      <c r="L23" s="98">
        <f t="shared" si="2"/>
        <v>1571.4895857048812</v>
      </c>
      <c r="M23" s="98">
        <v>1753.8227496024765</v>
      </c>
      <c r="N23" s="98">
        <v>2015.3357448459185</v>
      </c>
      <c r="O23" s="98">
        <v>2152.0639976059952</v>
      </c>
      <c r="P23" s="98">
        <v>2152.0639976059952</v>
      </c>
      <c r="Q23" s="98">
        <v>2152.0639976059952</v>
      </c>
      <c r="R23" s="549"/>
    </row>
    <row r="24" spans="1:18" s="55" customFormat="1" x14ac:dyDescent="0.25">
      <c r="B24" s="63" t="s">
        <v>42</v>
      </c>
      <c r="C24" s="89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549"/>
    </row>
    <row r="25" spans="1:18" s="55" customFormat="1" x14ac:dyDescent="0.25">
      <c r="B25" s="63" t="s">
        <v>43</v>
      </c>
      <c r="C25" s="89"/>
      <c r="D25" s="64">
        <f>Debt!D18</f>
        <v>0</v>
      </c>
      <c r="E25" s="64">
        <f>Debt!E18</f>
        <v>0</v>
      </c>
      <c r="F25" s="64">
        <f>Debt!F18</f>
        <v>1416</v>
      </c>
      <c r="G25" s="64">
        <f>Debt!G18</f>
        <v>1012</v>
      </c>
      <c r="H25" s="64">
        <f>Debt!H18</f>
        <v>608</v>
      </c>
      <c r="I25" s="64">
        <f>Debt!I18</f>
        <v>608</v>
      </c>
      <c r="J25" s="64">
        <f>Debt!J18</f>
        <v>608</v>
      </c>
      <c r="K25" s="64">
        <f>Debt!K18</f>
        <v>608</v>
      </c>
      <c r="L25" s="64">
        <f>Debt!L18</f>
        <v>608</v>
      </c>
      <c r="M25" s="64">
        <f>Debt!M18</f>
        <v>204</v>
      </c>
      <c r="N25" s="64">
        <f>Debt!N18</f>
        <v>-0.33699999999998909</v>
      </c>
      <c r="O25" s="64">
        <f>Debt!O18</f>
        <v>-0.33699999999998909</v>
      </c>
      <c r="P25" s="64">
        <f>Debt!P18</f>
        <v>0</v>
      </c>
      <c r="Q25" s="64">
        <f>Debt!Q18</f>
        <v>0</v>
      </c>
      <c r="R25" s="549"/>
    </row>
    <row r="26" spans="1:18" s="55" customFormat="1" x14ac:dyDescent="0.25">
      <c r="B26" s="132" t="s">
        <v>44</v>
      </c>
      <c r="C26" s="89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549"/>
    </row>
    <row r="27" spans="1:18" s="63" customFormat="1" x14ac:dyDescent="0.25">
      <c r="A27" s="43" t="s">
        <v>45</v>
      </c>
      <c r="C27" s="89"/>
      <c r="D27" s="64">
        <f t="shared" ref="D27:Q27" si="3">SUM(D20,D21,D22,D23,D24,D25,D26)</f>
        <v>102615.18121572719</v>
      </c>
      <c r="E27" s="64">
        <f t="shared" si="3"/>
        <v>51160.967104551964</v>
      </c>
      <c r="F27" s="64">
        <f t="shared" si="3"/>
        <v>48484.821799283149</v>
      </c>
      <c r="G27" s="64">
        <f t="shared" si="3"/>
        <v>150589.22569098306</v>
      </c>
      <c r="H27" s="64">
        <f t="shared" si="3"/>
        <v>158289.25647647539</v>
      </c>
      <c r="I27" s="64">
        <f t="shared" si="3"/>
        <v>147078.83604530524</v>
      </c>
      <c r="J27" s="64">
        <f t="shared" si="3"/>
        <v>147078.83604530524</v>
      </c>
      <c r="K27" s="64">
        <f t="shared" si="3"/>
        <v>147078.83604530524</v>
      </c>
      <c r="L27" s="64">
        <f t="shared" si="3"/>
        <v>147078.83604530524</v>
      </c>
      <c r="M27" s="64">
        <f t="shared" si="3"/>
        <v>164503.56222998162</v>
      </c>
      <c r="N27" s="64">
        <f t="shared" si="3"/>
        <v>190263.29457132105</v>
      </c>
      <c r="O27" s="64">
        <f t="shared" si="3"/>
        <v>197137.68449944811</v>
      </c>
      <c r="P27" s="64">
        <f t="shared" si="3"/>
        <v>193667.76485401826</v>
      </c>
      <c r="Q27" s="64">
        <f t="shared" si="3"/>
        <v>187384.6042715552</v>
      </c>
      <c r="R27" s="549"/>
    </row>
    <row r="28" spans="1:18" x14ac:dyDescent="0.25">
      <c r="B28" s="47"/>
      <c r="H28"/>
      <c r="M28"/>
      <c r="N28"/>
      <c r="O28"/>
      <c r="P28"/>
      <c r="Q28"/>
      <c r="R28" s="549"/>
    </row>
    <row r="29" spans="1:18" s="69" customFormat="1" x14ac:dyDescent="0.25">
      <c r="A29" s="68" t="s">
        <v>46</v>
      </c>
      <c r="B29" s="81"/>
      <c r="C29" s="89"/>
      <c r="D29" s="70"/>
      <c r="E29" s="70"/>
      <c r="F29" s="70"/>
      <c r="G29" s="71"/>
      <c r="H29" s="72"/>
      <c r="I29" s="73"/>
      <c r="J29" s="73"/>
      <c r="K29" s="73"/>
      <c r="L29" s="73"/>
      <c r="M29" s="72"/>
      <c r="N29" s="72"/>
      <c r="O29" s="72"/>
      <c r="P29" s="72"/>
      <c r="Q29" s="72"/>
      <c r="R29" s="549"/>
    </row>
    <row r="30" spans="1:18" s="69" customFormat="1" x14ac:dyDescent="0.25">
      <c r="A30" s="74" t="s">
        <v>562</v>
      </c>
      <c r="B30" s="81"/>
      <c r="C30" s="75"/>
      <c r="D30" s="519"/>
      <c r="E30" s="519"/>
      <c r="F30" s="519"/>
      <c r="G30" s="519"/>
      <c r="H30" s="519"/>
      <c r="I30" s="519"/>
      <c r="J30" s="519"/>
      <c r="K30" s="519"/>
      <c r="L30" s="519"/>
      <c r="M30" s="519"/>
      <c r="N30" s="519"/>
      <c r="O30" s="519"/>
      <c r="P30" s="519"/>
      <c r="Q30" s="519"/>
      <c r="R30" s="549"/>
    </row>
    <row r="31" spans="1:18" s="69" customFormat="1" x14ac:dyDescent="0.25">
      <c r="B31" s="81" t="s">
        <v>47</v>
      </c>
      <c r="C31" s="75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49"/>
    </row>
    <row r="32" spans="1:18" s="69" customFormat="1" x14ac:dyDescent="0.25">
      <c r="B32" s="81" t="s">
        <v>48</v>
      </c>
      <c r="C32" s="75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549"/>
    </row>
    <row r="33" spans="1:18" s="69" customFormat="1" x14ac:dyDescent="0.25">
      <c r="B33" s="81" t="s">
        <v>49</v>
      </c>
      <c r="C33" s="75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549"/>
    </row>
    <row r="34" spans="1:18" s="69" customFormat="1" x14ac:dyDescent="0.25">
      <c r="B34" s="81" t="s">
        <v>50</v>
      </c>
      <c r="C34" s="75"/>
      <c r="D34" s="544">
        <v>176008.04750803031</v>
      </c>
      <c r="E34" s="544">
        <v>135783.8155080303</v>
      </c>
      <c r="F34" s="544">
        <v>126583.13750803031</v>
      </c>
      <c r="G34" s="544">
        <v>157714.59319878396</v>
      </c>
      <c r="H34" s="544">
        <v>187285.76529071579</v>
      </c>
      <c r="I34" s="544">
        <v>185326.96118720074</v>
      </c>
      <c r="J34" s="544">
        <v>191618.15708368568</v>
      </c>
      <c r="K34" s="544">
        <v>197909.35298017063</v>
      </c>
      <c r="L34" s="544">
        <v>204200.54887665558</v>
      </c>
      <c r="M34" s="544">
        <v>242203.76037847751</v>
      </c>
      <c r="N34" s="544">
        <v>279181.76896471262</v>
      </c>
      <c r="O34" s="544">
        <v>319612.6922309231</v>
      </c>
      <c r="P34" s="544">
        <v>357255.64758454321</v>
      </c>
      <c r="Q34" s="544">
        <v>379747.53067883797</v>
      </c>
      <c r="R34" s="548" t="s">
        <v>520</v>
      </c>
    </row>
    <row r="35" spans="1:18" s="69" customFormat="1" x14ac:dyDescent="0.25">
      <c r="B35" s="133" t="s">
        <v>51</v>
      </c>
      <c r="C35" s="75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/>
    </row>
    <row r="36" spans="1:18" s="81" customFormat="1" x14ac:dyDescent="0.25">
      <c r="A36" s="69" t="s">
        <v>563</v>
      </c>
      <c r="B36" s="69"/>
      <c r="C36" s="75"/>
      <c r="D36" s="82">
        <f t="shared" ref="D36:Q36" si="4">SUM(D31,D32,D33,D34,D35)</f>
        <v>176008.04750803031</v>
      </c>
      <c r="E36" s="82">
        <f t="shared" si="4"/>
        <v>135783.8155080303</v>
      </c>
      <c r="F36" s="82">
        <f t="shared" si="4"/>
        <v>126583.13750803031</v>
      </c>
      <c r="G36" s="82">
        <f t="shared" si="4"/>
        <v>157714.59319878396</v>
      </c>
      <c r="H36" s="82">
        <f t="shared" si="4"/>
        <v>187285.76529071579</v>
      </c>
      <c r="I36" s="82">
        <f t="shared" si="4"/>
        <v>185326.96118720074</v>
      </c>
      <c r="J36" s="82">
        <f t="shared" si="4"/>
        <v>191618.15708368568</v>
      </c>
      <c r="K36" s="82">
        <f t="shared" si="4"/>
        <v>197909.35298017063</v>
      </c>
      <c r="L36" s="82">
        <f t="shared" si="4"/>
        <v>204200.54887665558</v>
      </c>
      <c r="M36" s="82">
        <f t="shared" si="4"/>
        <v>242203.76037847751</v>
      </c>
      <c r="N36" s="82">
        <f t="shared" si="4"/>
        <v>279181.76896471262</v>
      </c>
      <c r="O36" s="82">
        <f t="shared" si="4"/>
        <v>319612.6922309231</v>
      </c>
      <c r="P36" s="82">
        <f t="shared" si="4"/>
        <v>357255.64758454321</v>
      </c>
      <c r="Q36" s="82">
        <f t="shared" si="4"/>
        <v>379747.53067883797</v>
      </c>
      <c r="R36"/>
    </row>
    <row r="37" spans="1:18" s="69" customFormat="1" x14ac:dyDescent="0.25">
      <c r="B37" s="74" t="s">
        <v>52</v>
      </c>
      <c r="C37" s="75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/>
    </row>
    <row r="38" spans="1:18" s="81" customFormat="1" x14ac:dyDescent="0.25">
      <c r="A38" s="68" t="s">
        <v>53</v>
      </c>
      <c r="B38" s="69"/>
      <c r="C38" s="89"/>
      <c r="D38" s="82">
        <f t="shared" ref="D38:Q38" si="5">SUM(D36,D37)</f>
        <v>176008.04750803031</v>
      </c>
      <c r="E38" s="82">
        <f t="shared" si="5"/>
        <v>135783.8155080303</v>
      </c>
      <c r="F38" s="82">
        <f t="shared" si="5"/>
        <v>126583.13750803031</v>
      </c>
      <c r="G38" s="82">
        <f t="shared" si="5"/>
        <v>157714.59319878396</v>
      </c>
      <c r="H38" s="82">
        <f t="shared" si="5"/>
        <v>187285.76529071579</v>
      </c>
      <c r="I38" s="82">
        <f t="shared" si="5"/>
        <v>185326.96118720074</v>
      </c>
      <c r="J38" s="82">
        <f t="shared" si="5"/>
        <v>191618.15708368568</v>
      </c>
      <c r="K38" s="82">
        <f t="shared" si="5"/>
        <v>197909.35298017063</v>
      </c>
      <c r="L38" s="82">
        <f t="shared" si="5"/>
        <v>204200.54887665558</v>
      </c>
      <c r="M38" s="82">
        <f t="shared" si="5"/>
        <v>242203.76037847751</v>
      </c>
      <c r="N38" s="82">
        <f t="shared" si="5"/>
        <v>279181.76896471262</v>
      </c>
      <c r="O38" s="82">
        <f t="shared" si="5"/>
        <v>319612.6922309231</v>
      </c>
      <c r="P38" s="82">
        <f t="shared" si="5"/>
        <v>357255.64758454321</v>
      </c>
      <c r="Q38" s="82">
        <f t="shared" si="5"/>
        <v>379747.53067883797</v>
      </c>
      <c r="R38"/>
    </row>
    <row r="39" spans="1:18" s="19" customFormat="1" x14ac:dyDescent="0.25">
      <c r="A39" s="31" t="s">
        <v>54</v>
      </c>
      <c r="B39" s="14"/>
      <c r="C39" s="89"/>
      <c r="D39" s="20">
        <f t="shared" ref="D39:Q39" si="6">SUM(D27,D38)</f>
        <v>278623.22872375749</v>
      </c>
      <c r="E39" s="20">
        <f t="shared" si="6"/>
        <v>186944.78261258226</v>
      </c>
      <c r="F39" s="20">
        <f t="shared" si="6"/>
        <v>175067.95930731346</v>
      </c>
      <c r="G39" s="20">
        <f t="shared" si="6"/>
        <v>308303.81888976705</v>
      </c>
      <c r="H39" s="20">
        <f t="shared" si="6"/>
        <v>345575.02176719118</v>
      </c>
      <c r="I39" s="20">
        <f t="shared" si="6"/>
        <v>332405.79723250598</v>
      </c>
      <c r="J39" s="20">
        <f t="shared" si="6"/>
        <v>338696.99312899093</v>
      </c>
      <c r="K39" s="20">
        <f t="shared" si="6"/>
        <v>344988.18902547588</v>
      </c>
      <c r="L39" s="20">
        <f t="shared" si="6"/>
        <v>351279.38492196082</v>
      </c>
      <c r="M39" s="20">
        <f t="shared" si="6"/>
        <v>406707.32260845916</v>
      </c>
      <c r="N39" s="20">
        <f t="shared" si="6"/>
        <v>469445.06353603367</v>
      </c>
      <c r="O39" s="20">
        <f t="shared" si="6"/>
        <v>516750.37673037121</v>
      </c>
      <c r="P39" s="20">
        <f t="shared" si="6"/>
        <v>550923.41243856144</v>
      </c>
      <c r="Q39" s="20">
        <f t="shared" si="6"/>
        <v>567132.13495039311</v>
      </c>
      <c r="R39"/>
    </row>
    <row r="40" spans="1:18" x14ac:dyDescent="0.25">
      <c r="H40"/>
      <c r="M40"/>
      <c r="N40"/>
      <c r="O40"/>
      <c r="P40"/>
      <c r="Q40"/>
    </row>
    <row r="41" spans="1:18" x14ac:dyDescent="0.25">
      <c r="A41" t="s">
        <v>107</v>
      </c>
      <c r="D41" s="20">
        <f>SUM(D5,D7,D8,D9,D16)-SUM(D21,D23)</f>
        <v>39502.0475080303</v>
      </c>
      <c r="E41" s="20">
        <f>SUM(E5,E7,E8,E9,E16)-SUM(E21,E23)</f>
        <v>7809.8155080303113</v>
      </c>
      <c r="F41" s="20">
        <f>SUM(F5,F7,F8,F9,F16)-SUM(F21,F23)</f>
        <v>-4614.8624919696886</v>
      </c>
      <c r="G41" s="20">
        <f>SUM(G5,G7,G8,G9,G16)-SUM(G21,G23)</f>
        <v>13455.361355530826</v>
      </c>
      <c r="H41" s="20">
        <f>SUM(H5,H7,H8,H9,H16)-SUM(H21,H23)</f>
        <v>2314.3418056272785</v>
      </c>
      <c r="I41" s="20"/>
      <c r="J41" s="20"/>
      <c r="K41" s="20"/>
      <c r="L41" s="20"/>
      <c r="M41" s="20">
        <f>SUM(M5,M7,M8,M9,M16)-SUM(M21,M23)</f>
        <v>58230.164471641328</v>
      </c>
      <c r="N41" s="20">
        <f>SUM(N5,N7,N8,N9,N16)-SUM(N21,N23)</f>
        <v>91318.396422825579</v>
      </c>
      <c r="O41" s="20">
        <f>SUM(O5,O7,O8,O9,O16)-SUM(O21,O23)</f>
        <v>127207.64948811987</v>
      </c>
      <c r="P41" s="20">
        <f>SUM(P5,P7,P8,P9,P16)-SUM(P21,P23)</f>
        <v>165602.56789462987</v>
      </c>
      <c r="Q41" s="20">
        <f>SUM(Q5,Q7,Q8,Q9,Q16)-SUM(Q21,Q23)</f>
        <v>188049.91934213886</v>
      </c>
    </row>
    <row r="42" spans="1:18" x14ac:dyDescent="0.25">
      <c r="H42"/>
      <c r="M42"/>
      <c r="N42"/>
      <c r="O42"/>
      <c r="P42"/>
      <c r="Q42"/>
    </row>
    <row r="43" spans="1:18" s="449" customFormat="1" ht="9" collapsed="1" x14ac:dyDescent="0.15">
      <c r="A43" s="446" t="s">
        <v>55</v>
      </c>
      <c r="C43" s="89"/>
      <c r="D43" s="443">
        <f t="shared" ref="D43:Q43" si="7">D17-D39</f>
        <v>0</v>
      </c>
      <c r="E43" s="443">
        <f t="shared" si="7"/>
        <v>0</v>
      </c>
      <c r="F43" s="443">
        <f t="shared" si="7"/>
        <v>0</v>
      </c>
      <c r="G43" s="443">
        <f t="shared" si="7"/>
        <v>0</v>
      </c>
      <c r="H43" s="443">
        <f t="shared" si="7"/>
        <v>0</v>
      </c>
      <c r="I43" s="443">
        <f t="shared" si="7"/>
        <v>1247.5295331652742</v>
      </c>
      <c r="J43" s="443">
        <f t="shared" si="7"/>
        <v>1247.529533165216</v>
      </c>
      <c r="K43" s="443">
        <f t="shared" si="7"/>
        <v>1247.5295331652742</v>
      </c>
      <c r="L43" s="443">
        <f t="shared" si="7"/>
        <v>1247.5295331652742</v>
      </c>
      <c r="M43" s="443">
        <f t="shared" si="7"/>
        <v>-3005.3437368655577</v>
      </c>
      <c r="N43" s="443">
        <f t="shared" si="7"/>
        <v>-2582.9273302836227</v>
      </c>
      <c r="O43" s="443">
        <f t="shared" si="7"/>
        <v>-3148.1838078037254</v>
      </c>
      <c r="P43" s="443">
        <f t="shared" si="7"/>
        <v>-2396.5577549138106</v>
      </c>
      <c r="Q43" s="443">
        <f t="shared" si="7"/>
        <v>-2441.0894016996026</v>
      </c>
      <c r="R43" s="450"/>
    </row>
    <row r="44" spans="1:18" x14ac:dyDescent="0.25">
      <c r="H44"/>
      <c r="M44"/>
      <c r="N44"/>
      <c r="O44"/>
      <c r="P44"/>
      <c r="Q44"/>
    </row>
    <row r="45" spans="1:18" x14ac:dyDescent="0.25">
      <c r="A45" s="558" t="s">
        <v>521</v>
      </c>
      <c r="B45" s="559"/>
      <c r="C45" s="552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3"/>
    </row>
    <row r="46" spans="1:18" x14ac:dyDescent="0.25">
      <c r="A46" s="560"/>
      <c r="B46" s="561" t="s">
        <v>518</v>
      </c>
      <c r="C46" s="550"/>
      <c r="D46" s="564">
        <v>6.1655635950295178</v>
      </c>
      <c r="E46" s="564">
        <v>9.4193664090068889</v>
      </c>
      <c r="F46" s="564">
        <v>5.3813642755544064</v>
      </c>
      <c r="G46" s="564">
        <v>5.6765748046744919</v>
      </c>
      <c r="H46" s="564">
        <v>7.7067388874596503</v>
      </c>
      <c r="I46" s="564">
        <v>2.1532869894829094</v>
      </c>
      <c r="J46" s="564">
        <v>2.1532869894829094</v>
      </c>
      <c r="K46" s="564">
        <v>2.1532869894829094</v>
      </c>
      <c r="L46" s="564">
        <v>2.1532869894829094</v>
      </c>
      <c r="M46" s="564">
        <v>6.4823748721355088</v>
      </c>
      <c r="N46" s="564">
        <v>6.9834519720632979</v>
      </c>
      <c r="O46" s="564">
        <v>6.9844249396645512</v>
      </c>
      <c r="P46" s="564">
        <v>7.124113438457842</v>
      </c>
      <c r="Q46" s="564">
        <v>5.0017146200011675</v>
      </c>
      <c r="R46" s="554"/>
    </row>
    <row r="47" spans="1:18" x14ac:dyDescent="0.25">
      <c r="A47" s="560"/>
      <c r="B47" s="561" t="s">
        <v>517</v>
      </c>
      <c r="C47" s="550"/>
      <c r="D47" s="565">
        <v>36.520647439046286</v>
      </c>
      <c r="E47" s="565">
        <v>27.692383986907185</v>
      </c>
      <c r="F47" s="565">
        <v>28.217132831838946</v>
      </c>
      <c r="G47" s="565">
        <v>23.445565621843542</v>
      </c>
      <c r="H47" s="565">
        <v>20.968995078519288</v>
      </c>
      <c r="I47" s="565">
        <v>75.406906908982023</v>
      </c>
      <c r="J47" s="565">
        <v>75.406906908982023</v>
      </c>
      <c r="K47" s="565">
        <v>75.406906908982023</v>
      </c>
      <c r="L47" s="565">
        <v>75.406906908982023</v>
      </c>
      <c r="M47" s="565">
        <v>27.077194787196518</v>
      </c>
      <c r="N47" s="565">
        <v>27.064782541620929</v>
      </c>
      <c r="O47" s="565">
        <v>27.058537972766718</v>
      </c>
      <c r="P47" s="565">
        <v>26.527978404673259</v>
      </c>
      <c r="Q47" s="565">
        <v>37.657295029264709</v>
      </c>
      <c r="R47" s="554"/>
    </row>
    <row r="48" spans="1:18" x14ac:dyDescent="0.25">
      <c r="A48" s="560"/>
      <c r="B48" s="561" t="s">
        <v>516</v>
      </c>
      <c r="C48" s="550"/>
      <c r="D48" s="565">
        <v>88.778450410359454</v>
      </c>
      <c r="E48" s="565">
        <v>67.430593546725078</v>
      </c>
      <c r="F48" s="565">
        <v>101.32939341397542</v>
      </c>
      <c r="G48" s="565">
        <v>83.800214787404343</v>
      </c>
      <c r="H48" s="565">
        <v>74.924279700118717</v>
      </c>
      <c r="I48" s="565">
        <v>268.15833783422926</v>
      </c>
      <c r="J48" s="565">
        <v>268.15833783422926</v>
      </c>
      <c r="K48" s="565">
        <v>268.15833783422926</v>
      </c>
      <c r="L48" s="565">
        <v>268.15833783422926</v>
      </c>
      <c r="M48" s="565">
        <v>75.20391980036807</v>
      </c>
      <c r="N48" s="565">
        <v>75.177720431130268</v>
      </c>
      <c r="O48" s="565">
        <v>75.167247774190372</v>
      </c>
      <c r="P48" s="565">
        <v>76.062444271014513</v>
      </c>
      <c r="Q48" s="565">
        <v>109.15324233439162</v>
      </c>
      <c r="R48" s="554"/>
    </row>
    <row r="49" spans="1:18" x14ac:dyDescent="0.25">
      <c r="A49" s="562"/>
      <c r="B49" s="563"/>
      <c r="C49" s="556"/>
      <c r="D49" s="555"/>
      <c r="E49" s="555"/>
      <c r="F49" s="555"/>
      <c r="G49" s="555"/>
      <c r="H49" s="555"/>
      <c r="I49" s="555"/>
      <c r="J49" s="555"/>
      <c r="K49" s="555"/>
      <c r="L49" s="555"/>
      <c r="M49" s="555"/>
      <c r="N49" s="555"/>
      <c r="O49" s="555"/>
      <c r="P49" s="555"/>
      <c r="Q49" s="555"/>
      <c r="R49" s="557"/>
    </row>
  </sheetData>
  <sheetProtection algorithmName="SHA-512" hashValue="Iny+N/Jw5VDlhkN1s6KgP6Xnhy2j9qZgetQ0nVJmqzty2UTnXjcGgD/yt5SaRVcIx7EnyjIrSK0BVcaBxYCTKA==" saltValue="mgZftzIOh6hvPehIjl6KTg==" spinCount="100000" sheet="1" objects="1" scenarios="1"/>
  <conditionalFormatting sqref="D43:Q43">
    <cfRule type="cellIs" dxfId="8" priority="1" operator="notBetween">
      <formula>-1</formula>
      <formula>1</formula>
    </cfRule>
  </conditionalFormatting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</sheetPr>
  <dimension ref="A1:R53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6.140625" customWidth="1"/>
    <col min="2" max="2" width="41.5703125" customWidth="1"/>
    <col min="3" max="3" width="2.28515625" style="2" bestFit="1" customWidth="1"/>
    <col min="4" max="6" width="8" bestFit="1" customWidth="1"/>
    <col min="7" max="7" width="9" bestFit="1" customWidth="1"/>
    <col min="8" max="8" width="9" style="36" bestFit="1" customWidth="1"/>
    <col min="9" max="12" width="9" bestFit="1" customWidth="1"/>
    <col min="13" max="16" width="9" style="36" bestFit="1" customWidth="1"/>
    <col min="17" max="17" width="8.28515625" style="36" bestFit="1" customWidth="1"/>
    <col min="18" max="18" width="8.28515625" bestFit="1" customWidth="1"/>
  </cols>
  <sheetData>
    <row r="1" spans="1:18" x14ac:dyDescent="0.25">
      <c r="A1" s="433" t="s">
        <v>547</v>
      </c>
      <c r="H1"/>
      <c r="M1"/>
      <c r="N1"/>
      <c r="O1"/>
      <c r="P1"/>
      <c r="Q1"/>
      <c r="R1" s="14"/>
    </row>
    <row r="2" spans="1:18" ht="15.75" thickBot="1" x14ac:dyDescent="0.3">
      <c r="A2" s="433" t="s">
        <v>99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14"/>
    </row>
    <row r="3" spans="1:18" ht="15.75" thickBot="1" x14ac:dyDescent="0.3">
      <c r="C3" s="6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14"/>
    </row>
    <row r="4" spans="1:18" s="37" customFormat="1" x14ac:dyDescent="0.25">
      <c r="A4" s="1" t="s">
        <v>56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 s="14"/>
    </row>
    <row r="5" spans="1:18" s="37" customFormat="1" x14ac:dyDescent="0.25">
      <c r="B5" s="37" t="s">
        <v>57</v>
      </c>
      <c r="C5" s="102"/>
      <c r="D5" s="123">
        <f>Biz1pl!D21</f>
        <v>-22884.607000000007</v>
      </c>
      <c r="E5" s="123">
        <f>Biz1pl!E21</f>
        <v>-41304.092000000004</v>
      </c>
      <c r="F5" s="123">
        <f>Biz1pl!F21</f>
        <v>-28495.070999999996</v>
      </c>
      <c r="G5" s="123">
        <f>Biz1pl!G21</f>
        <v>552.36684750054155</v>
      </c>
      <c r="H5" s="123">
        <f>Biz1pl!H21</f>
        <v>12669.787767253782</v>
      </c>
      <c r="I5" s="123">
        <f>Biz1pl!I21</f>
        <v>3366.3756535537318</v>
      </c>
      <c r="J5" s="123">
        <f>Biz1pl!J21</f>
        <v>3366.3756535537318</v>
      </c>
      <c r="K5" s="123">
        <f>Biz1pl!K21</f>
        <v>3366.3756535537318</v>
      </c>
      <c r="L5" s="123">
        <f>Biz1pl!L21</f>
        <v>3366.3756535537318</v>
      </c>
      <c r="M5" s="123">
        <f>Biz1pl!M21</f>
        <v>14211.101845214927</v>
      </c>
      <c r="N5" s="123">
        <f>Biz1pl!N21</f>
        <v>19083.037077207915</v>
      </c>
      <c r="O5" s="123">
        <f>Biz1pl!O21</f>
        <v>20138.144412088128</v>
      </c>
      <c r="P5" s="123">
        <f>Biz1pl!P21</f>
        <v>18899.0880855252</v>
      </c>
      <c r="Q5" s="123">
        <f>Biz1pl!Q21</f>
        <v>8230.1146531916493</v>
      </c>
      <c r="R5" s="14"/>
    </row>
    <row r="6" spans="1:18" s="37" customFormat="1" x14ac:dyDescent="0.25">
      <c r="B6" s="37" t="s">
        <v>42</v>
      </c>
      <c r="C6" s="102"/>
      <c r="D6" s="124"/>
      <c r="E6" s="123">
        <f>Biz1bs!E24-Biz1bs!D24</f>
        <v>0</v>
      </c>
      <c r="F6" s="123">
        <f>Biz1bs!F24-Biz1bs!E24</f>
        <v>0</v>
      </c>
      <c r="G6" s="123">
        <f>Biz1bs!G24-Biz1bs!F24</f>
        <v>0</v>
      </c>
      <c r="H6" s="123">
        <f>Biz1bs!H24-Biz1bs!G24</f>
        <v>0</v>
      </c>
      <c r="I6" s="123">
        <f>Biz1bs!I24-Biz1bs!H24</f>
        <v>0</v>
      </c>
      <c r="J6" s="123">
        <f>Biz1bs!J24-Biz1bs!I24</f>
        <v>0</v>
      </c>
      <c r="K6" s="123">
        <f>Biz1bs!K24-Biz1bs!J24</f>
        <v>0</v>
      </c>
      <c r="L6" s="123">
        <f>Biz1bs!L24-Biz1bs!K24</f>
        <v>0</v>
      </c>
      <c r="M6" s="123">
        <f>Biz1bs!M24-Biz1bs!L24</f>
        <v>0</v>
      </c>
      <c r="N6" s="123">
        <f>Biz1bs!N24-Biz1bs!M24</f>
        <v>0</v>
      </c>
      <c r="O6" s="123">
        <f>Biz1bs!O24-Biz1bs!N24</f>
        <v>0</v>
      </c>
      <c r="P6" s="123">
        <f>Biz1bs!P24-Biz1bs!O24</f>
        <v>0</v>
      </c>
      <c r="Q6" s="123">
        <f>Biz1bs!Q24-Biz1bs!P24</f>
        <v>0</v>
      </c>
      <c r="R6" s="14"/>
    </row>
    <row r="7" spans="1:18" s="37" customFormat="1" x14ac:dyDescent="0.25">
      <c r="B7" s="37" t="s">
        <v>58</v>
      </c>
      <c r="C7" s="102"/>
      <c r="D7" s="123">
        <f>Biz1pl!D12</f>
        <v>8434.7849999999999</v>
      </c>
      <c r="E7" s="123">
        <f>Biz1pl!E12</f>
        <v>9556.43</v>
      </c>
      <c r="F7" s="123">
        <f>Biz1pl!F12</f>
        <v>9151.1989999999987</v>
      </c>
      <c r="G7" s="123">
        <f>Biz1pl!G12</f>
        <v>8360.6229999999996</v>
      </c>
      <c r="H7" s="123">
        <f>Biz1pl!H12</f>
        <v>8800</v>
      </c>
      <c r="I7" s="123">
        <f>Biz1pl!I12</f>
        <v>2437.5</v>
      </c>
      <c r="J7" s="123">
        <f>Biz1pl!J12</f>
        <v>2437.5</v>
      </c>
      <c r="K7" s="123">
        <f>Biz1pl!K12</f>
        <v>2437.5</v>
      </c>
      <c r="L7" s="123">
        <f>Biz1pl!L12</f>
        <v>2437.5</v>
      </c>
      <c r="M7" s="123">
        <f>Biz1pl!M12</f>
        <v>9750</v>
      </c>
      <c r="N7" s="123">
        <f>Biz1pl!N12</f>
        <v>10250</v>
      </c>
      <c r="O7" s="123">
        <f>Biz1pl!O12</f>
        <v>10500</v>
      </c>
      <c r="P7" s="123">
        <f>Biz1pl!P12</f>
        <v>10500</v>
      </c>
      <c r="Q7" s="123">
        <f>Biz1pl!Q12</f>
        <v>10500</v>
      </c>
      <c r="R7" s="14"/>
    </row>
    <row r="8" spans="1:18" s="37" customFormat="1" x14ac:dyDescent="0.25">
      <c r="B8" s="37" t="s">
        <v>59</v>
      </c>
      <c r="C8" s="102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4"/>
    </row>
    <row r="9" spans="1:18" s="37" customFormat="1" x14ac:dyDescent="0.25">
      <c r="B9" s="37" t="s">
        <v>8</v>
      </c>
      <c r="C9" s="102"/>
      <c r="D9" s="123">
        <f>Biz1pl!D11</f>
        <v>0</v>
      </c>
      <c r="E9" s="123">
        <f>Biz1pl!E11</f>
        <v>0</v>
      </c>
      <c r="F9" s="123">
        <f>Biz1pl!F11</f>
        <v>0</v>
      </c>
      <c r="G9" s="123">
        <f>Biz1pl!G11</f>
        <v>0</v>
      </c>
      <c r="H9" s="123">
        <f>Biz1pl!H11</f>
        <v>0</v>
      </c>
      <c r="I9" s="123">
        <f>Biz1pl!I11</f>
        <v>0</v>
      </c>
      <c r="J9" s="123">
        <f>Biz1pl!J11</f>
        <v>0</v>
      </c>
      <c r="K9" s="123">
        <f>Biz1pl!K11</f>
        <v>0</v>
      </c>
      <c r="L9" s="123">
        <f>Biz1pl!L11</f>
        <v>0</v>
      </c>
      <c r="M9" s="123">
        <f>Biz1pl!M11</f>
        <v>0</v>
      </c>
      <c r="N9" s="123">
        <f>Biz1pl!N11</f>
        <v>0</v>
      </c>
      <c r="O9" s="123">
        <f>Biz1pl!O11</f>
        <v>0</v>
      </c>
      <c r="P9" s="123">
        <f>Biz1pl!P11</f>
        <v>0</v>
      </c>
      <c r="Q9" s="123">
        <f>Biz1pl!Q11</f>
        <v>0</v>
      </c>
      <c r="R9" s="14"/>
    </row>
    <row r="10" spans="1:18" s="37" customFormat="1" x14ac:dyDescent="0.25">
      <c r="B10" s="37" t="s">
        <v>60</v>
      </c>
      <c r="C10" s="102"/>
      <c r="D10" s="124">
        <f>-Biz1pl!D20</f>
        <v>-3182.0830000000001</v>
      </c>
      <c r="E10" s="124">
        <f>-Biz1pl!E20</f>
        <v>-1472</v>
      </c>
      <c r="F10" s="124">
        <f>-Biz1pl!F20</f>
        <v>4053.9949999999999</v>
      </c>
      <c r="G10" s="124">
        <f>-Biz1pl!G20</f>
        <v>2100.6109999999999</v>
      </c>
      <c r="H10" s="124">
        <f>-Biz1pl!H20</f>
        <v>3993.1926828426281</v>
      </c>
      <c r="I10" s="124">
        <f>-Biz1pl!I20</f>
        <v>746.03323993622917</v>
      </c>
      <c r="J10" s="124">
        <f>-Biz1pl!J20</f>
        <v>746.03323993622917</v>
      </c>
      <c r="K10" s="124">
        <f>-Biz1pl!K20</f>
        <v>746.03323993622917</v>
      </c>
      <c r="L10" s="124">
        <f>-Biz1pl!L20</f>
        <v>746.03323993622917</v>
      </c>
      <c r="M10" s="124">
        <f>-Biz1pl!M20</f>
        <v>2984.1329597449167</v>
      </c>
      <c r="N10" s="124">
        <f>-Biz1pl!N20</f>
        <v>4591.3280806470393</v>
      </c>
      <c r="O10" s="124">
        <f>-Biz1pl!O20</f>
        <v>4942.3488362115768</v>
      </c>
      <c r="P10" s="124">
        <f>-Biz1pl!P20</f>
        <v>5087.8736229105234</v>
      </c>
      <c r="Q10" s="124">
        <f>-Biz1pl!Q20</f>
        <v>3651.9293989228286</v>
      </c>
      <c r="R10" s="14"/>
    </row>
    <row r="11" spans="1:18" s="97" customFormat="1" x14ac:dyDescent="0.25">
      <c r="A11" s="104" t="s">
        <v>61</v>
      </c>
      <c r="B11" s="37"/>
      <c r="C11" s="91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14"/>
    </row>
    <row r="12" spans="1:18" s="37" customFormat="1" x14ac:dyDescent="0.25">
      <c r="B12" s="37" t="s">
        <v>98</v>
      </c>
      <c r="C12" s="102"/>
      <c r="D12" s="124"/>
      <c r="E12" s="123">
        <f>Biz1bs!D7-Biz1bs!E7</f>
        <v>22736.157432030461</v>
      </c>
      <c r="F12" s="123">
        <f>Biz1bs!E7-Biz1bs!F7</f>
        <v>4910.0737558946603</v>
      </c>
      <c r="G12" s="123">
        <f>Biz1bs!F7-Biz1bs!G7</f>
        <v>-26000.001976881947</v>
      </c>
      <c r="H12" s="123">
        <f>Biz1bs!G7-Biz1bs!H7</f>
        <v>-11548.349676218735</v>
      </c>
      <c r="I12" s="123">
        <f>Biz1bs!H7-Biz1bs!I7</f>
        <v>5911.5667714373849</v>
      </c>
      <c r="J12" s="123">
        <f>Biz1bs!I7-Biz1bs!J7</f>
        <v>0</v>
      </c>
      <c r="K12" s="123">
        <f>Biz1bs!J7-Biz1bs!K7</f>
        <v>0</v>
      </c>
      <c r="L12" s="123">
        <f>Biz1bs!K7-Biz1bs!L7</f>
        <v>0</v>
      </c>
      <c r="M12" s="123">
        <f>Biz1bs!L7-Biz1bs!M7</f>
        <v>-19245.018153986304</v>
      </c>
      <c r="N12" s="123">
        <f>Biz1bs!M7-Biz1bs!N7</f>
        <v>-10275.065099117863</v>
      </c>
      <c r="O12" s="123">
        <f>Biz1bs!N7-Biz1bs!O7</f>
        <v>-2696.0222954156052</v>
      </c>
      <c r="P12" s="123">
        <f>Biz1bs!O7-Biz1bs!P7</f>
        <v>3652.1343441927893</v>
      </c>
      <c r="Q12" s="123">
        <f>Biz1bs!P7-Biz1bs!Q7</f>
        <v>2973.5820719207404</v>
      </c>
      <c r="R12" s="14"/>
    </row>
    <row r="13" spans="1:18" s="37" customFormat="1" x14ac:dyDescent="0.25">
      <c r="B13" s="37" t="s">
        <v>62</v>
      </c>
      <c r="C13" s="102"/>
      <c r="D13" s="124"/>
      <c r="E13" s="123">
        <f>Biz1bs!D8-Biz1bs!E8</f>
        <v>38299.846192563979</v>
      </c>
      <c r="F13" s="123">
        <f>Biz1bs!E8-Biz1bs!F8</f>
        <v>-2795.366863366864</v>
      </c>
      <c r="G13" s="123">
        <f>Biz1bs!F8-Biz1bs!G8</f>
        <v>-69361.830144672727</v>
      </c>
      <c r="H13" s="123">
        <f>Biz1bs!G8-Biz1bs!H8</f>
        <v>-4550.0034753047803</v>
      </c>
      <c r="I13" s="123">
        <f>Biz1bs!H8-Biz1bs!I8</f>
        <v>12301.324126567502</v>
      </c>
      <c r="J13" s="123">
        <f>Biz1bs!I8-Biz1bs!J8</f>
        <v>0</v>
      </c>
      <c r="K13" s="123">
        <f>Biz1bs!J8-Biz1bs!K8</f>
        <v>0</v>
      </c>
      <c r="L13" s="123">
        <f>Biz1bs!K8-Biz1bs!L8</f>
        <v>0</v>
      </c>
      <c r="M13" s="123">
        <f>Biz1bs!L8-Biz1bs!M8</f>
        <v>-30107.114196741109</v>
      </c>
      <c r="N13" s="123">
        <f>Biz1bs!M8-Biz1bs!N8</f>
        <v>-9176.4739856244705</v>
      </c>
      <c r="O13" s="123">
        <f>Biz1bs!N8-Biz1bs!O8</f>
        <v>-4684.2790695408621</v>
      </c>
      <c r="P13" s="123">
        <f>Biz1bs!O8-Biz1bs!P8</f>
        <v>6559.7543503226188</v>
      </c>
      <c r="Q13" s="123">
        <f>Biz1bs!P8-Biz1bs!Q8</f>
        <v>5163.7208250612312</v>
      </c>
      <c r="R13" s="14"/>
    </row>
    <row r="14" spans="1:18" s="37" customFormat="1" x14ac:dyDescent="0.25">
      <c r="B14" s="37" t="s">
        <v>30</v>
      </c>
      <c r="C14" s="102"/>
      <c r="D14" s="124"/>
      <c r="E14" s="123">
        <f>Biz1bs!D9-Biz1bs!E9</f>
        <v>0</v>
      </c>
      <c r="F14" s="123">
        <f>Biz1bs!E9-Biz1bs!F9</f>
        <v>0</v>
      </c>
      <c r="G14" s="123">
        <f>Biz1bs!F9-Biz1bs!G9</f>
        <v>0</v>
      </c>
      <c r="H14" s="123">
        <f>Biz1bs!G9-Biz1bs!H9</f>
        <v>0</v>
      </c>
      <c r="I14" s="123">
        <f>Biz1bs!H9-Biz1bs!I9</f>
        <v>0</v>
      </c>
      <c r="J14" s="123">
        <f>Biz1bs!I9-Biz1bs!J9</f>
        <v>0</v>
      </c>
      <c r="K14" s="123">
        <f>Biz1bs!J9-Biz1bs!K9</f>
        <v>0</v>
      </c>
      <c r="L14" s="123">
        <f>Biz1bs!K9-Biz1bs!L9</f>
        <v>0</v>
      </c>
      <c r="M14" s="123">
        <f>Biz1bs!L9-Biz1bs!M9</f>
        <v>0</v>
      </c>
      <c r="N14" s="123">
        <f>Biz1bs!M9-Biz1bs!N9</f>
        <v>0</v>
      </c>
      <c r="O14" s="123">
        <f>Biz1bs!N9-Biz1bs!O9</f>
        <v>0</v>
      </c>
      <c r="P14" s="123">
        <f>Biz1bs!O9-Biz1bs!P9</f>
        <v>0</v>
      </c>
      <c r="Q14" s="123">
        <f>Biz1bs!P9-Biz1bs!Q9</f>
        <v>0</v>
      </c>
      <c r="R14" s="14"/>
    </row>
    <row r="15" spans="1:18" s="37" customFormat="1" x14ac:dyDescent="0.25">
      <c r="B15" s="37" t="s">
        <v>97</v>
      </c>
      <c r="C15" s="102"/>
      <c r="D15" s="124"/>
      <c r="E15" s="123">
        <f>Biz1bs!D16-Biz1bs!E16</f>
        <v>0</v>
      </c>
      <c r="F15" s="123">
        <f>Biz1bs!E16-Biz1bs!F16</f>
        <v>0</v>
      </c>
      <c r="G15" s="123">
        <f>Biz1bs!F16-Biz1bs!G16</f>
        <v>0</v>
      </c>
      <c r="H15" s="123">
        <f>Biz1bs!G16-Biz1bs!H16</f>
        <v>0</v>
      </c>
      <c r="I15" s="123">
        <f>Biz1bs!H16-Biz1bs!I16</f>
        <v>0</v>
      </c>
      <c r="J15" s="123">
        <f>Biz1bs!I16-Biz1bs!J16</f>
        <v>0</v>
      </c>
      <c r="K15" s="123">
        <f>Biz1bs!J16-Biz1bs!K16</f>
        <v>0</v>
      </c>
      <c r="L15" s="123">
        <f>Biz1bs!K16-Biz1bs!L16</f>
        <v>0</v>
      </c>
      <c r="M15" s="123">
        <f>Biz1bs!L16-Biz1bs!M16</f>
        <v>0</v>
      </c>
      <c r="N15" s="123">
        <f>Biz1bs!M16-Biz1bs!N16</f>
        <v>0</v>
      </c>
      <c r="O15" s="123">
        <f>Biz1bs!N16-Biz1bs!O16</f>
        <v>0</v>
      </c>
      <c r="P15" s="123">
        <f>Biz1bs!O16-Biz1bs!P16</f>
        <v>0</v>
      </c>
      <c r="Q15" s="123">
        <f>Biz1bs!P16-Biz1bs!Q16</f>
        <v>0</v>
      </c>
      <c r="R15" s="14"/>
    </row>
    <row r="16" spans="1:18" s="97" customFormat="1" x14ac:dyDescent="0.25">
      <c r="A16" s="104" t="s">
        <v>63</v>
      </c>
      <c r="B16" s="37"/>
      <c r="C16" s="91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14"/>
    </row>
    <row r="17" spans="1:18" s="37" customFormat="1" x14ac:dyDescent="0.25">
      <c r="B17" s="37" t="s">
        <v>124</v>
      </c>
      <c r="C17" s="102"/>
      <c r="D17" s="124"/>
      <c r="E17" s="123">
        <f>Biz1bs!E21-Biz1bs!D21</f>
        <v>-50897.214111175228</v>
      </c>
      <c r="F17" s="123">
        <f>Biz1bs!F21-Biz1bs!E21</f>
        <v>-2517.5453052688172</v>
      </c>
      <c r="G17" s="123">
        <f>Biz1bs!G21-Biz1bs!F21</f>
        <v>84681.353891699895</v>
      </c>
      <c r="H17" s="123">
        <f>Biz1bs!H21-Biz1bs!G21</f>
        <v>34884.991199787488</v>
      </c>
      <c r="I17" s="123">
        <f>Biz1bs!I21-Biz1bs!H21</f>
        <v>-19460.420431170147</v>
      </c>
      <c r="J17" s="123">
        <f>Biz1bs!J21-Biz1bs!I21</f>
        <v>0</v>
      </c>
      <c r="K17" s="123">
        <f>Biz1bs!K21-Biz1bs!J21</f>
        <v>0</v>
      </c>
      <c r="L17" s="123">
        <f>Biz1bs!L21-Biz1bs!K21</f>
        <v>0</v>
      </c>
      <c r="M17" s="123">
        <f>Biz1bs!M21-Biz1bs!L21</f>
        <v>17646.393020778778</v>
      </c>
      <c r="N17" s="123">
        <f>Biz1bs!N21-Biz1bs!M21</f>
        <v>25702.556346095982</v>
      </c>
      <c r="O17" s="123">
        <f>Biz1bs!O21-Biz1bs!N21</f>
        <v>6737.6616753669805</v>
      </c>
      <c r="P17" s="123">
        <f>Biz1bs!P21-Biz1bs!O21</f>
        <v>-3470.2566454298503</v>
      </c>
      <c r="Q17" s="123">
        <f>Biz1bs!Q21-Biz1bs!P21</f>
        <v>-6283.1605824630533</v>
      </c>
      <c r="R17" s="14"/>
    </row>
    <row r="18" spans="1:18" s="37" customFormat="1" x14ac:dyDescent="0.25">
      <c r="B18" s="37" t="s">
        <v>41</v>
      </c>
      <c r="C18" s="102"/>
      <c r="D18" s="124"/>
      <c r="E18" s="123">
        <f>Biz1bs!E23-Biz1bs!D23</f>
        <v>-557</v>
      </c>
      <c r="F18" s="123">
        <f>Biz1bs!F23-Biz1bs!E23</f>
        <v>-1574.6</v>
      </c>
      <c r="G18" s="123">
        <f>Biz1bs!G23-Biz1bs!F23</f>
        <v>-422.95000000000005</v>
      </c>
      <c r="H18" s="123">
        <f>Biz1bs!H23-Biz1bs!G23</f>
        <v>-280.96041429511888</v>
      </c>
      <c r="I18" s="123">
        <f>Biz1bs!I23-Biz1bs!H23</f>
        <v>0</v>
      </c>
      <c r="J18" s="123">
        <f>Biz1bs!J23-Biz1bs!I23</f>
        <v>0</v>
      </c>
      <c r="K18" s="123">
        <f>Biz1bs!K23-Biz1bs!J23</f>
        <v>0</v>
      </c>
      <c r="L18" s="123">
        <f>Biz1bs!L23-Biz1bs!K23</f>
        <v>0</v>
      </c>
      <c r="M18" s="123">
        <f>Biz1bs!M23-Biz1bs!L23</f>
        <v>182.33316389759534</v>
      </c>
      <c r="N18" s="123">
        <f>Biz1bs!N23-Biz1bs!M23</f>
        <v>261.51299524344199</v>
      </c>
      <c r="O18" s="123">
        <f>Biz1bs!O23-Biz1bs!N23</f>
        <v>136.72825276007666</v>
      </c>
      <c r="P18" s="123">
        <f>Biz1bs!P23-Biz1bs!O23</f>
        <v>0</v>
      </c>
      <c r="Q18" s="123">
        <f>Biz1bs!Q23-Biz1bs!P23</f>
        <v>0</v>
      </c>
      <c r="R18" s="14"/>
    </row>
    <row r="19" spans="1:18" s="97" customFormat="1" x14ac:dyDescent="0.25">
      <c r="A19" s="1" t="s">
        <v>64</v>
      </c>
      <c r="B19" s="37"/>
      <c r="C19" s="102"/>
      <c r="D19" s="96">
        <f t="shared" ref="D19:Q19" si="0">SUM(D5,D6,D7,D8,D9,D10,D12,D13,D14,D15,D17,D18)</f>
        <v>-17631.905000000006</v>
      </c>
      <c r="E19" s="96">
        <f t="shared" si="0"/>
        <v>-23637.872486580793</v>
      </c>
      <c r="F19" s="96">
        <f t="shared" si="0"/>
        <v>-17267.315412741016</v>
      </c>
      <c r="G19" s="96">
        <f t="shared" si="0"/>
        <v>-89.827382354243355</v>
      </c>
      <c r="H19" s="96">
        <f t="shared" si="0"/>
        <v>43968.65808406526</v>
      </c>
      <c r="I19" s="96">
        <f t="shared" si="0"/>
        <v>5302.3793603247032</v>
      </c>
      <c r="J19" s="96">
        <f t="shared" si="0"/>
        <v>6549.908893489961</v>
      </c>
      <c r="K19" s="96">
        <f t="shared" si="0"/>
        <v>6549.908893489961</v>
      </c>
      <c r="L19" s="96">
        <f t="shared" si="0"/>
        <v>6549.908893489961</v>
      </c>
      <c r="M19" s="96">
        <f t="shared" si="0"/>
        <v>-4578.1713610911966</v>
      </c>
      <c r="N19" s="96">
        <f t="shared" si="0"/>
        <v>40436.895414452047</v>
      </c>
      <c r="O19" s="96">
        <f t="shared" si="0"/>
        <v>35074.581811470292</v>
      </c>
      <c r="P19" s="96">
        <f t="shared" si="0"/>
        <v>41228.593757521281</v>
      </c>
      <c r="Q19" s="96">
        <f t="shared" si="0"/>
        <v>24236.186366633396</v>
      </c>
      <c r="R19" s="14"/>
    </row>
    <row r="20" spans="1:18" x14ac:dyDescent="0.25">
      <c r="C20"/>
      <c r="H20"/>
      <c r="M20"/>
      <c r="N20"/>
      <c r="O20"/>
      <c r="P20"/>
      <c r="Q20"/>
      <c r="R20" s="14"/>
    </row>
    <row r="21" spans="1:18" s="113" customFormat="1" x14ac:dyDescent="0.25">
      <c r="A21" s="108" t="s">
        <v>65</v>
      </c>
      <c r="B21" s="44"/>
      <c r="C21" s="2"/>
      <c r="D21" s="109"/>
      <c r="E21" s="109"/>
      <c r="F21" s="109"/>
      <c r="G21" s="110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4"/>
    </row>
    <row r="22" spans="1:18" s="113" customFormat="1" x14ac:dyDescent="0.25">
      <c r="B22" s="113" t="s">
        <v>66</v>
      </c>
      <c r="C22" s="117"/>
      <c r="D22" s="98"/>
      <c r="E22" s="120">
        <f>Biz1bs!D6-Biz1bs!E6</f>
        <v>0</v>
      </c>
      <c r="F22" s="120">
        <f>Biz1bs!E6-Biz1bs!F6</f>
        <v>0</v>
      </c>
      <c r="G22" s="120">
        <f>Biz1bs!F6-Biz1bs!G6</f>
        <v>0</v>
      </c>
      <c r="H22" s="120">
        <f>Biz1bs!G6-Biz1bs!H6</f>
        <v>0</v>
      </c>
      <c r="I22" s="120">
        <f>Biz1bs!H6-Biz1bs!I6</f>
        <v>0</v>
      </c>
      <c r="J22" s="120">
        <f>Biz1bs!I6-Biz1bs!J6</f>
        <v>0</v>
      </c>
      <c r="K22" s="120">
        <f>Biz1bs!J6-Biz1bs!K6</f>
        <v>0</v>
      </c>
      <c r="L22" s="120">
        <f>Biz1bs!K6-Biz1bs!L6</f>
        <v>0</v>
      </c>
      <c r="M22" s="120">
        <f>Biz1bs!L6-Biz1bs!M6</f>
        <v>0</v>
      </c>
      <c r="N22" s="120">
        <f>Biz1bs!M6-Biz1bs!N6</f>
        <v>0</v>
      </c>
      <c r="O22" s="120">
        <f>Biz1bs!N6-Biz1bs!O6</f>
        <v>0</v>
      </c>
      <c r="P22" s="120">
        <f>Biz1bs!O6-Biz1bs!P6</f>
        <v>0</v>
      </c>
      <c r="Q22" s="120">
        <f>Biz1bs!P6-Biz1bs!Q6</f>
        <v>0</v>
      </c>
      <c r="R22" s="14"/>
    </row>
    <row r="23" spans="1:18" s="113" customFormat="1" x14ac:dyDescent="0.25">
      <c r="B23" s="113" t="s">
        <v>67</v>
      </c>
      <c r="C23" s="117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14"/>
    </row>
    <row r="24" spans="1:18" s="113" customFormat="1" x14ac:dyDescent="0.25">
      <c r="B24" s="113" t="s">
        <v>68</v>
      </c>
      <c r="C24" s="117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14"/>
    </row>
    <row r="25" spans="1:18" s="113" customFormat="1" x14ac:dyDescent="0.25">
      <c r="B25" s="113" t="s">
        <v>69</v>
      </c>
      <c r="C25" s="117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14"/>
    </row>
    <row r="26" spans="1:18" s="113" customFormat="1" x14ac:dyDescent="0.25">
      <c r="B26" s="113" t="s">
        <v>70</v>
      </c>
      <c r="C26" s="117"/>
      <c r="D26" s="98"/>
      <c r="E26" s="120">
        <f>Biz1bs!D10-Biz1bs!E10</f>
        <v>0</v>
      </c>
      <c r="F26" s="120">
        <f>Biz1bs!E10-Biz1bs!F10</f>
        <v>0</v>
      </c>
      <c r="G26" s="120">
        <f>Biz1bs!F10-Biz1bs!G10</f>
        <v>0</v>
      </c>
      <c r="H26" s="120">
        <f>Biz1bs!G10-Biz1bs!H10</f>
        <v>0</v>
      </c>
      <c r="I26" s="120">
        <f>Biz1bs!H10-Biz1bs!I10</f>
        <v>0</v>
      </c>
      <c r="J26" s="120">
        <f>Biz1bs!I10-Biz1bs!J10</f>
        <v>0</v>
      </c>
      <c r="K26" s="120">
        <f>Biz1bs!J10-Biz1bs!K10</f>
        <v>0</v>
      </c>
      <c r="L26" s="120">
        <f>Biz1bs!K10-Biz1bs!L10</f>
        <v>0</v>
      </c>
      <c r="M26" s="120">
        <f>Biz1bs!L10-Biz1bs!M10</f>
        <v>0</v>
      </c>
      <c r="N26" s="120">
        <f>Biz1bs!M10-Biz1bs!N10</f>
        <v>0</v>
      </c>
      <c r="O26" s="120">
        <f>Biz1bs!N10-Biz1bs!O10</f>
        <v>0</v>
      </c>
      <c r="P26" s="120">
        <f>Biz1bs!O10-Biz1bs!P10</f>
        <v>0</v>
      </c>
      <c r="Q26" s="120">
        <f>Biz1bs!P10-Biz1bs!Q10</f>
        <v>0</v>
      </c>
      <c r="R26" s="14"/>
    </row>
    <row r="27" spans="1:18" s="113" customFormat="1" x14ac:dyDescent="0.25">
      <c r="B27" s="113" t="s">
        <v>100</v>
      </c>
      <c r="C27" s="117"/>
      <c r="D27" s="98">
        <v>-19719</v>
      </c>
      <c r="E27" s="98">
        <v>-8029</v>
      </c>
      <c r="F27" s="98">
        <v>-7702</v>
      </c>
      <c r="G27" s="98">
        <v>-19150</v>
      </c>
      <c r="H27" s="98">
        <v>-18500</v>
      </c>
      <c r="I27" s="39">
        <f>$M27/4</f>
        <v>-3250</v>
      </c>
      <c r="J27" s="39">
        <f t="shared" ref="J27:L27" si="1">$M27/4</f>
        <v>-3250</v>
      </c>
      <c r="K27" s="39">
        <f t="shared" si="1"/>
        <v>-3250</v>
      </c>
      <c r="L27" s="39">
        <f t="shared" si="1"/>
        <v>-3250</v>
      </c>
      <c r="M27" s="120">
        <f>-Biz1drivers!D55</f>
        <v>-13000</v>
      </c>
      <c r="N27" s="120">
        <f>-Biz1drivers!E55</f>
        <v>-14000</v>
      </c>
      <c r="O27" s="120">
        <f>-Biz1drivers!F55</f>
        <v>-14000</v>
      </c>
      <c r="P27" s="120">
        <f>-Biz1drivers!G55</f>
        <v>-14000</v>
      </c>
      <c r="Q27" s="120">
        <f>-Biz1drivers!H55</f>
        <v>-14000</v>
      </c>
      <c r="R27" s="14"/>
    </row>
    <row r="28" spans="1:18" s="113" customFormat="1" x14ac:dyDescent="0.25">
      <c r="B28" s="113" t="s">
        <v>101</v>
      </c>
      <c r="C28" s="117"/>
      <c r="D28" s="98"/>
      <c r="E28" s="98"/>
      <c r="F28" s="98"/>
      <c r="G28" s="98"/>
      <c r="H28" s="98"/>
      <c r="I28" s="98"/>
      <c r="J28" s="98"/>
      <c r="K28" s="98"/>
      <c r="L28" s="98"/>
      <c r="M28" s="120">
        <f>Biz1drivers!D56</f>
        <v>0</v>
      </c>
      <c r="N28" s="120">
        <f>Biz1drivers!E56</f>
        <v>0</v>
      </c>
      <c r="O28" s="120">
        <f>Biz1drivers!F56</f>
        <v>0</v>
      </c>
      <c r="P28" s="120">
        <f>Biz1drivers!G56</f>
        <v>0</v>
      </c>
      <c r="Q28" s="120">
        <f>Biz1drivers!H56</f>
        <v>0</v>
      </c>
      <c r="R28" s="14"/>
    </row>
    <row r="29" spans="1:18" s="119" customFormat="1" x14ac:dyDescent="0.25">
      <c r="A29" s="108" t="s">
        <v>72</v>
      </c>
      <c r="B29" s="113"/>
      <c r="C29" s="17"/>
      <c r="D29" s="120">
        <f t="shared" ref="D29:Q29" si="2">SUM(D22,D23,D24,D25,D26,D27,D28)</f>
        <v>-19719</v>
      </c>
      <c r="E29" s="120">
        <f t="shared" si="2"/>
        <v>-8029</v>
      </c>
      <c r="F29" s="120">
        <f t="shared" si="2"/>
        <v>-7702</v>
      </c>
      <c r="G29" s="120">
        <f t="shared" si="2"/>
        <v>-19150</v>
      </c>
      <c r="H29" s="120">
        <f t="shared" si="2"/>
        <v>-18500</v>
      </c>
      <c r="I29" s="120">
        <f t="shared" si="2"/>
        <v>-3250</v>
      </c>
      <c r="J29" s="120">
        <f t="shared" si="2"/>
        <v>-3250</v>
      </c>
      <c r="K29" s="120">
        <f t="shared" si="2"/>
        <v>-3250</v>
      </c>
      <c r="L29" s="120">
        <f t="shared" si="2"/>
        <v>-3250</v>
      </c>
      <c r="M29" s="120">
        <f t="shared" si="2"/>
        <v>-13000</v>
      </c>
      <c r="N29" s="120">
        <f t="shared" si="2"/>
        <v>-14000</v>
      </c>
      <c r="O29" s="120">
        <f t="shared" si="2"/>
        <v>-14000</v>
      </c>
      <c r="P29" s="120">
        <f t="shared" si="2"/>
        <v>-14000</v>
      </c>
      <c r="Q29" s="120">
        <f t="shared" si="2"/>
        <v>-14000</v>
      </c>
      <c r="R29" s="14"/>
    </row>
    <row r="30" spans="1:18" s="45" customFormat="1" x14ac:dyDescent="0.25">
      <c r="B30" s="44"/>
      <c r="C30" s="2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14"/>
    </row>
    <row r="31" spans="1:18" s="69" customFormat="1" x14ac:dyDescent="0.25">
      <c r="A31" s="68" t="s">
        <v>73</v>
      </c>
      <c r="B31" s="44"/>
      <c r="C31" s="2"/>
      <c r="D31" s="70"/>
      <c r="E31" s="70"/>
      <c r="F31" s="70"/>
      <c r="G31" s="71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14"/>
    </row>
    <row r="32" spans="1:18" s="69" customFormat="1" x14ac:dyDescent="0.25">
      <c r="B32" s="69" t="s">
        <v>74</v>
      </c>
      <c r="C32" s="79"/>
      <c r="D32" s="99"/>
      <c r="E32" s="82">
        <f>Biz1bs!E20-Biz1bs!D20</f>
        <v>0</v>
      </c>
      <c r="F32" s="82">
        <f>Biz1bs!F20-Biz1bs!E20</f>
        <v>0</v>
      </c>
      <c r="G32" s="82">
        <f>Biz1bs!G20-Biz1bs!F20</f>
        <v>18250</v>
      </c>
      <c r="H32" s="82">
        <f>Biz1bs!H20-Biz1bs!G20</f>
        <v>-26500</v>
      </c>
      <c r="I32" s="99">
        <v>0</v>
      </c>
      <c r="J32" s="99">
        <f>Biz1bs!J20-Biz1bs!I20</f>
        <v>0</v>
      </c>
      <c r="K32" s="99">
        <f>Biz1bs!K20-Biz1bs!J20</f>
        <v>0</v>
      </c>
      <c r="L32" s="99">
        <f>Biz1bs!L20-Biz1bs!K20</f>
        <v>0</v>
      </c>
      <c r="M32" s="99">
        <f>Biz1bs!M20-Biz1bs!H20</f>
        <v>8250</v>
      </c>
      <c r="N32" s="82">
        <f>Biz1bs!N20-Biz1bs!M20</f>
        <v>0</v>
      </c>
      <c r="O32" s="82">
        <f>Biz1bs!O20-Biz1bs!N20</f>
        <v>0</v>
      </c>
      <c r="P32" s="82">
        <f>Biz1bs!P20-Biz1bs!O20</f>
        <v>0</v>
      </c>
      <c r="Q32" s="82">
        <f>Biz1bs!Q20-Biz1bs!P20</f>
        <v>0</v>
      </c>
      <c r="R32" s="14"/>
    </row>
    <row r="33" spans="1:18" s="69" customFormat="1" x14ac:dyDescent="0.25">
      <c r="B33" s="69" t="s">
        <v>75</v>
      </c>
      <c r="C33" s="79"/>
      <c r="D33" s="99"/>
      <c r="E33" s="82">
        <f>Biz1bs!E25-Biz1bs!D25</f>
        <v>0</v>
      </c>
      <c r="F33" s="82">
        <f>Biz1bs!F25-Biz1bs!E25</f>
        <v>1416</v>
      </c>
      <c r="G33" s="82">
        <f>Biz1bs!G25-Biz1bs!F25</f>
        <v>-404</v>
      </c>
      <c r="H33" s="82">
        <f>Biz1bs!H25-Biz1bs!G25</f>
        <v>-404</v>
      </c>
      <c r="I33" s="82">
        <f>Biz1bs!I25-Biz1bs!H25</f>
        <v>0</v>
      </c>
      <c r="J33" s="82">
        <f>Biz1bs!J25-Biz1bs!I25</f>
        <v>0</v>
      </c>
      <c r="K33" s="82">
        <f>Biz1bs!K25-Biz1bs!J25</f>
        <v>0</v>
      </c>
      <c r="L33" s="82">
        <f>Biz1bs!L25-Biz1bs!K25</f>
        <v>0</v>
      </c>
      <c r="M33" s="82">
        <f>Biz1bs!M25-Biz1bs!L25</f>
        <v>-404</v>
      </c>
      <c r="N33" s="82">
        <f>Biz1bs!N25-Biz1bs!M25</f>
        <v>-204.33699999999999</v>
      </c>
      <c r="O33" s="82">
        <f>Biz1bs!O25-Biz1bs!N25</f>
        <v>0</v>
      </c>
      <c r="P33" s="82">
        <f>Biz1bs!P25-Biz1bs!O25</f>
        <v>0.33699999999998909</v>
      </c>
      <c r="Q33" s="82">
        <f>Biz1bs!Q25-Biz1bs!P25</f>
        <v>0</v>
      </c>
      <c r="R33" s="14"/>
    </row>
    <row r="34" spans="1:18" s="69" customFormat="1" x14ac:dyDescent="0.25">
      <c r="B34" s="69" t="s">
        <v>76</v>
      </c>
      <c r="C34" s="7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14"/>
    </row>
    <row r="35" spans="1:18" s="69" customFormat="1" x14ac:dyDescent="0.25">
      <c r="B35" s="69" t="s">
        <v>77</v>
      </c>
      <c r="C35" s="7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4"/>
    </row>
    <row r="36" spans="1:18" s="69" customFormat="1" x14ac:dyDescent="0.25">
      <c r="B36" s="69" t="s">
        <v>78</v>
      </c>
      <c r="C36" s="7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4"/>
    </row>
    <row r="37" spans="1:18" s="69" customFormat="1" x14ac:dyDescent="0.25">
      <c r="B37" s="69" t="s">
        <v>79</v>
      </c>
      <c r="C37" s="7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14"/>
    </row>
    <row r="38" spans="1:18" s="69" customFormat="1" x14ac:dyDescent="0.25">
      <c r="B38" s="69" t="s">
        <v>80</v>
      </c>
      <c r="C38" s="7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14"/>
    </row>
    <row r="39" spans="1:18" s="69" customFormat="1" x14ac:dyDescent="0.25">
      <c r="B39" s="69" t="s">
        <v>81</v>
      </c>
      <c r="C39" s="7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14"/>
    </row>
    <row r="40" spans="1:18" s="69" customFormat="1" x14ac:dyDescent="0.25">
      <c r="B40" s="69" t="s">
        <v>82</v>
      </c>
      <c r="C40" s="7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4"/>
    </row>
    <row r="41" spans="1:18" s="69" customFormat="1" x14ac:dyDescent="0.25">
      <c r="B41" s="69" t="s">
        <v>83</v>
      </c>
      <c r="C41" s="7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14"/>
    </row>
    <row r="42" spans="1:18" s="81" customFormat="1" x14ac:dyDescent="0.25">
      <c r="A42" s="68" t="s">
        <v>84</v>
      </c>
      <c r="B42" s="69"/>
      <c r="C42" s="17"/>
      <c r="D42" s="82">
        <f t="shared" ref="D42:Q42" si="3">SUM(D32,D33,D34,D35,D36,D37,D38,D39,D40,D41)</f>
        <v>0</v>
      </c>
      <c r="E42" s="82">
        <f t="shared" si="3"/>
        <v>0</v>
      </c>
      <c r="F42" s="82">
        <f t="shared" si="3"/>
        <v>1416</v>
      </c>
      <c r="G42" s="82">
        <f t="shared" si="3"/>
        <v>17846</v>
      </c>
      <c r="H42" s="82">
        <f t="shared" si="3"/>
        <v>-26904</v>
      </c>
      <c r="I42" s="82">
        <f t="shared" si="3"/>
        <v>0</v>
      </c>
      <c r="J42" s="82">
        <f t="shared" si="3"/>
        <v>0</v>
      </c>
      <c r="K42" s="82">
        <f t="shared" si="3"/>
        <v>0</v>
      </c>
      <c r="L42" s="82">
        <f t="shared" si="3"/>
        <v>0</v>
      </c>
      <c r="M42" s="82">
        <f t="shared" si="3"/>
        <v>7846</v>
      </c>
      <c r="N42" s="82">
        <f t="shared" si="3"/>
        <v>-204.33699999999999</v>
      </c>
      <c r="O42" s="82">
        <f t="shared" si="3"/>
        <v>0</v>
      </c>
      <c r="P42" s="82">
        <f t="shared" si="3"/>
        <v>0.33699999999998909</v>
      </c>
      <c r="Q42" s="82">
        <f t="shared" si="3"/>
        <v>0</v>
      </c>
      <c r="R42" s="14"/>
    </row>
    <row r="43" spans="1:18" x14ac:dyDescent="0.25">
      <c r="C43"/>
      <c r="H43"/>
      <c r="M43"/>
      <c r="N43"/>
      <c r="O43"/>
      <c r="P43"/>
      <c r="Q43"/>
      <c r="R43" s="14"/>
    </row>
    <row r="44" spans="1:18" s="19" customFormat="1" x14ac:dyDescent="0.25">
      <c r="B44" s="14" t="s">
        <v>85</v>
      </c>
      <c r="C44" s="17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14"/>
    </row>
    <row r="45" spans="1:18" s="19" customFormat="1" x14ac:dyDescent="0.25">
      <c r="A45" s="31" t="s">
        <v>86</v>
      </c>
      <c r="B45" s="14"/>
      <c r="C45" s="17"/>
      <c r="D45" s="20">
        <f t="shared" ref="D45:Q45" si="4">D19+D29+D42+D44</f>
        <v>-37350.905000000006</v>
      </c>
      <c r="E45" s="20">
        <f t="shared" si="4"/>
        <v>-31666.872486580793</v>
      </c>
      <c r="F45" s="20">
        <f t="shared" si="4"/>
        <v>-23553.315412741016</v>
      </c>
      <c r="G45" s="20">
        <f t="shared" si="4"/>
        <v>-1393.827382354244</v>
      </c>
      <c r="H45" s="20">
        <f t="shared" si="4"/>
        <v>-1435.3419159347395</v>
      </c>
      <c r="I45" s="20">
        <f t="shared" si="4"/>
        <v>2052.3793603247032</v>
      </c>
      <c r="J45" s="20">
        <f t="shared" si="4"/>
        <v>3299.908893489961</v>
      </c>
      <c r="K45" s="20">
        <f t="shared" si="4"/>
        <v>3299.908893489961</v>
      </c>
      <c r="L45" s="20">
        <f t="shared" si="4"/>
        <v>3299.908893489961</v>
      </c>
      <c r="M45" s="20">
        <f t="shared" si="4"/>
        <v>-9732.1713610911975</v>
      </c>
      <c r="N45" s="20">
        <f t="shared" si="4"/>
        <v>26232.558414452047</v>
      </c>
      <c r="O45" s="20">
        <f t="shared" si="4"/>
        <v>21074.581811470292</v>
      </c>
      <c r="P45" s="20">
        <f t="shared" si="4"/>
        <v>27228.930757521281</v>
      </c>
      <c r="Q45" s="20">
        <f t="shared" si="4"/>
        <v>10236.186366633396</v>
      </c>
      <c r="R45" s="14"/>
    </row>
    <row r="46" spans="1:18" s="19" customFormat="1" x14ac:dyDescent="0.25">
      <c r="B46" s="14" t="s">
        <v>87</v>
      </c>
      <c r="C46" s="17"/>
      <c r="D46" s="39">
        <v>65429</v>
      </c>
      <c r="E46" s="20">
        <f>D47</f>
        <v>28078.094999999994</v>
      </c>
      <c r="F46" s="20">
        <f t="shared" ref="F46:G46" si="5">E47</f>
        <v>-3588.7774865807987</v>
      </c>
      <c r="G46" s="20">
        <f t="shared" si="5"/>
        <v>-27142.092899321815</v>
      </c>
      <c r="H46" s="20">
        <f>G47</f>
        <v>-28535.920281676059</v>
      </c>
      <c r="I46" s="20">
        <f t="shared" ref="I46:N46" si="6">H47</f>
        <v>-29971.262197610798</v>
      </c>
      <c r="J46" s="20">
        <f t="shared" si="6"/>
        <v>-27918.882837286095</v>
      </c>
      <c r="K46" s="20">
        <f t="shared" si="6"/>
        <v>-24618.973943796133</v>
      </c>
      <c r="L46" s="20">
        <f t="shared" si="6"/>
        <v>-21319.06505030617</v>
      </c>
      <c r="M46" s="20">
        <f t="shared" si="6"/>
        <v>-18019.156156816207</v>
      </c>
      <c r="N46" s="20">
        <f t="shared" si="6"/>
        <v>-27751.327517907404</v>
      </c>
      <c r="O46" s="20">
        <f>N47</f>
        <v>-1518.7691034553573</v>
      </c>
      <c r="P46" s="20">
        <f t="shared" ref="P46:Q46" si="7">O47</f>
        <v>19555.812708014935</v>
      </c>
      <c r="Q46" s="20">
        <f t="shared" si="7"/>
        <v>46784.743465536216</v>
      </c>
      <c r="R46" s="14"/>
    </row>
    <row r="47" spans="1:18" s="19" customFormat="1" x14ac:dyDescent="0.25">
      <c r="A47" s="31" t="s">
        <v>88</v>
      </c>
      <c r="B47" s="14"/>
      <c r="C47" s="17"/>
      <c r="D47" s="20">
        <f t="shared" ref="D47:Q47" si="8">D45+D46</f>
        <v>28078.094999999994</v>
      </c>
      <c r="E47" s="20">
        <f t="shared" si="8"/>
        <v>-3588.7774865807987</v>
      </c>
      <c r="F47" s="20">
        <f t="shared" si="8"/>
        <v>-27142.092899321815</v>
      </c>
      <c r="G47" s="20">
        <f t="shared" si="8"/>
        <v>-28535.920281676059</v>
      </c>
      <c r="H47" s="20">
        <f t="shared" si="8"/>
        <v>-29971.262197610798</v>
      </c>
      <c r="I47" s="20">
        <f t="shared" si="8"/>
        <v>-27918.882837286095</v>
      </c>
      <c r="J47" s="20">
        <f t="shared" si="8"/>
        <v>-24618.973943796133</v>
      </c>
      <c r="K47" s="20">
        <f t="shared" si="8"/>
        <v>-21319.06505030617</v>
      </c>
      <c r="L47" s="20">
        <f t="shared" si="8"/>
        <v>-18019.156156816207</v>
      </c>
      <c r="M47" s="20">
        <f t="shared" si="8"/>
        <v>-27751.327517907404</v>
      </c>
      <c r="N47" s="20">
        <f t="shared" si="8"/>
        <v>-1518.7691034553573</v>
      </c>
      <c r="O47" s="20">
        <f t="shared" si="8"/>
        <v>19555.812708014935</v>
      </c>
      <c r="P47" s="20">
        <f t="shared" si="8"/>
        <v>46784.743465536216</v>
      </c>
      <c r="Q47" s="20">
        <f t="shared" si="8"/>
        <v>57020.929832169611</v>
      </c>
      <c r="R47" s="14"/>
    </row>
    <row r="48" spans="1:18" s="14" customFormat="1" x14ac:dyDescent="0.25"/>
    <row r="49" spans="1:18" s="449" customFormat="1" ht="9" collapsed="1" x14ac:dyDescent="0.15">
      <c r="A49" s="446" t="s">
        <v>55</v>
      </c>
      <c r="C49" s="89"/>
      <c r="D49" s="443">
        <f>Biz1bs!D5-D47</f>
        <v>8434.7849999999962</v>
      </c>
      <c r="E49" s="443">
        <f>Biz1bs!E5-E47</f>
        <v>17991.215</v>
      </c>
      <c r="F49" s="443">
        <f>Biz1bs!F5-F47</f>
        <v>27142.414000000001</v>
      </c>
      <c r="G49" s="443">
        <f>Biz1bs!G5-G47</f>
        <v>35503.036999999982</v>
      </c>
      <c r="H49" s="443">
        <f>Biz1bs!H5-H47</f>
        <v>44303.036999999982</v>
      </c>
      <c r="I49" s="443">
        <f>Biz1bs!I5-I47</f>
        <v>48541.853536160233</v>
      </c>
      <c r="J49" s="443">
        <f>Biz1bs!J5-J47</f>
        <v>51533.140539155225</v>
      </c>
      <c r="K49" s="443">
        <f>Biz1bs!K5-K47</f>
        <v>54524.42754215021</v>
      </c>
      <c r="L49" s="443">
        <f>Biz1bs!L5-L47</f>
        <v>57515.714545145202</v>
      </c>
      <c r="M49" s="443">
        <f>Biz1bs!M5-M47</f>
        <v>65227.989287094337</v>
      </c>
      <c r="N49" s="443">
        <f>Biz1bs!N5-N47</f>
        <v>78596.193080423691</v>
      </c>
      <c r="O49" s="443">
        <f>Biz1bs!O5-O47</f>
        <v>92904.952897418203</v>
      </c>
      <c r="P49" s="443">
        <f>Biz1bs!P5-P47</f>
        <v>110812.57259549253</v>
      </c>
      <c r="Q49" s="443">
        <f>Biz1bs!Q5-Q47</f>
        <v>124877.87999088704</v>
      </c>
      <c r="R49" s="450"/>
    </row>
    <row r="50" spans="1:18" s="14" customFormat="1" x14ac:dyDescent="0.25"/>
    <row r="51" spans="1:18" s="14" customFormat="1" x14ac:dyDescent="0.25"/>
    <row r="52" spans="1:18" s="14" customFormat="1" x14ac:dyDescent="0.25"/>
    <row r="53" spans="1:18" s="14" customFormat="1" x14ac:dyDescent="0.25">
      <c r="C53" s="2"/>
      <c r="H53" s="31"/>
      <c r="M53" s="31"/>
      <c r="N53" s="31"/>
      <c r="O53" s="31"/>
      <c r="P53" s="31"/>
      <c r="Q53" s="31"/>
    </row>
  </sheetData>
  <sheetProtection algorithmName="SHA-512" hashValue="mf79A2F4xCW0cJrPzd/RQVBV4gh+fyPT6Qp0xS13sbMv6xqOnxWBvpdgbX3v9ou0kLbioSGPlkbtlb/qlhYw9g==" saltValue="ROxd/imUGOmsvTq8YT/z5Q==" spinCount="100000" sheet="1" objects="1" scenarios="1"/>
  <conditionalFormatting sqref="C44:C47 C21:C42 C5:C19">
    <cfRule type="cellIs" dxfId="7" priority="7" operator="notEqual">
      <formula>0</formula>
    </cfRule>
  </conditionalFormatting>
  <conditionalFormatting sqref="D49:Q49">
    <cfRule type="cellIs" dxfId="6" priority="1" operator="notBetween">
      <formula>-1</formula>
      <formula>1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499984740745262"/>
  </sheetPr>
  <dimension ref="A1:Z70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25.28515625" customWidth="1"/>
    <col min="2" max="2" width="8.42578125" customWidth="1"/>
    <col min="3" max="3" width="1.7109375" customWidth="1"/>
    <col min="4" max="4" width="13.28515625" style="36" bestFit="1" customWidth="1"/>
    <col min="5" max="6" width="15.140625" style="36" bestFit="1" customWidth="1"/>
    <col min="7" max="8" width="10.28515625" style="36" bestFit="1" customWidth="1"/>
    <col min="9" max="9" width="14.7109375" bestFit="1" customWidth="1"/>
    <col min="11" max="11" width="11.5703125" customWidth="1"/>
    <col min="12" max="12" width="10.140625" customWidth="1"/>
    <col min="13" max="13" width="1.42578125" customWidth="1"/>
    <col min="14" max="14" width="9.7109375" bestFit="1" customWidth="1"/>
    <col min="15" max="16" width="11.28515625" bestFit="1" customWidth="1"/>
    <col min="17" max="18" width="9.28515625" customWidth="1"/>
    <col min="19" max="19" width="11.28515625" bestFit="1" customWidth="1"/>
    <col min="22" max="22" width="33.42578125" bestFit="1" customWidth="1"/>
    <col min="23" max="25" width="14.7109375" bestFit="1" customWidth="1"/>
  </cols>
  <sheetData>
    <row r="1" spans="1:18" x14ac:dyDescent="0.25">
      <c r="A1" s="43" t="s">
        <v>565</v>
      </c>
      <c r="D1"/>
      <c r="E1"/>
      <c r="F1"/>
      <c r="G1"/>
      <c r="H1"/>
    </row>
    <row r="2" spans="1:18" ht="15.75" thickBot="1" x14ac:dyDescent="0.3">
      <c r="A2" s="43" t="s">
        <v>202</v>
      </c>
      <c r="D2" s="125" t="s">
        <v>89</v>
      </c>
      <c r="E2" s="126"/>
      <c r="F2" s="4"/>
      <c r="G2" s="4"/>
      <c r="H2" s="4"/>
      <c r="N2" s="125" t="s">
        <v>89</v>
      </c>
      <c r="O2" s="126"/>
      <c r="P2" s="4"/>
      <c r="Q2" s="4"/>
      <c r="R2" s="4"/>
    </row>
    <row r="3" spans="1:18" ht="15.75" thickBot="1" x14ac:dyDescent="0.3">
      <c r="C3" s="38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M3" s="601">
        <v>42369</v>
      </c>
      <c r="N3" s="7">
        <v>42735</v>
      </c>
      <c r="O3" s="7">
        <v>43100</v>
      </c>
      <c r="P3" s="7">
        <v>43465</v>
      </c>
      <c r="Q3" s="7">
        <v>43830</v>
      </c>
      <c r="R3" s="7">
        <v>42978</v>
      </c>
    </row>
    <row r="4" spans="1:18" x14ac:dyDescent="0.25">
      <c r="D4" s="12"/>
      <c r="E4" s="12"/>
      <c r="F4" s="12"/>
      <c r="G4" s="12"/>
      <c r="H4" s="12"/>
    </row>
    <row r="5" spans="1:18" x14ac:dyDescent="0.25">
      <c r="A5" s="229" t="s">
        <v>207</v>
      </c>
      <c r="D5" s="12"/>
      <c r="E5" s="12"/>
      <c r="F5" s="12"/>
      <c r="G5" s="12"/>
      <c r="H5" s="12"/>
      <c r="K5" s="229" t="s">
        <v>194</v>
      </c>
      <c r="N5" s="12"/>
      <c r="O5" s="12"/>
      <c r="P5" s="12"/>
      <c r="Q5" s="12"/>
      <c r="R5" s="12"/>
    </row>
    <row r="6" spans="1:18" x14ac:dyDescent="0.25">
      <c r="A6" t="s">
        <v>208</v>
      </c>
      <c r="D6" s="39">
        <v>1200</v>
      </c>
      <c r="E6" s="39">
        <v>1200</v>
      </c>
      <c r="F6" s="39">
        <v>1200</v>
      </c>
      <c r="G6" s="39">
        <v>1200</v>
      </c>
      <c r="H6" s="39">
        <v>1200</v>
      </c>
      <c r="K6" s="14" t="s">
        <v>2</v>
      </c>
      <c r="L6" s="14"/>
      <c r="M6" s="14"/>
      <c r="N6" s="22">
        <f t="shared" ref="N6:R6" si="0">D32</f>
        <v>138220.08755009898</v>
      </c>
      <c r="O6" s="22">
        <f t="shared" si="0"/>
        <v>141852.95460371629</v>
      </c>
      <c r="P6" s="22">
        <f t="shared" si="0"/>
        <v>145399.27846880918</v>
      </c>
      <c r="Q6" s="22">
        <f t="shared" si="0"/>
        <v>145399.27846880918</v>
      </c>
      <c r="R6" s="22">
        <f t="shared" si="0"/>
        <v>145399.27846880918</v>
      </c>
    </row>
    <row r="7" spans="1:18" x14ac:dyDescent="0.25">
      <c r="A7" t="s">
        <v>209</v>
      </c>
      <c r="D7" s="39"/>
      <c r="E7" s="39"/>
      <c r="F7" s="39"/>
      <c r="G7" s="39"/>
      <c r="H7" s="231"/>
      <c r="K7" s="249" t="s">
        <v>3</v>
      </c>
      <c r="L7" s="14"/>
      <c r="M7" s="14"/>
      <c r="N7" s="22">
        <f>D38</f>
        <v>126147.86628733996</v>
      </c>
      <c r="O7" s="22">
        <f t="shared" ref="O7:R7" si="1">E38</f>
        <v>129452.32307965856</v>
      </c>
      <c r="P7" s="22">
        <f t="shared" si="1"/>
        <v>132688.63115665002</v>
      </c>
      <c r="Q7" s="22">
        <f t="shared" si="1"/>
        <v>132688.63115665002</v>
      </c>
      <c r="R7" s="22">
        <f t="shared" si="1"/>
        <v>132688.63115665002</v>
      </c>
    </row>
    <row r="8" spans="1:18" x14ac:dyDescent="0.25">
      <c r="A8" t="s">
        <v>210</v>
      </c>
      <c r="D8" s="39"/>
      <c r="E8" s="39"/>
      <c r="F8" s="39"/>
      <c r="G8" s="39"/>
      <c r="H8" s="231"/>
      <c r="K8" s="14" t="s">
        <v>4</v>
      </c>
      <c r="L8" s="14"/>
      <c r="M8" s="14"/>
      <c r="N8" s="22">
        <f>D44</f>
        <v>12072.22126275902</v>
      </c>
      <c r="O8" s="22">
        <f t="shared" ref="O8:R8" si="2">E44</f>
        <v>12400.631524057737</v>
      </c>
      <c r="P8" s="22">
        <f t="shared" si="2"/>
        <v>12710.647312159153</v>
      </c>
      <c r="Q8" s="22">
        <f t="shared" si="2"/>
        <v>12710.647312159153</v>
      </c>
      <c r="R8" s="22">
        <f t="shared" si="2"/>
        <v>12710.647312159153</v>
      </c>
    </row>
    <row r="9" spans="1:18" x14ac:dyDescent="0.25">
      <c r="A9" s="36" t="s">
        <v>332</v>
      </c>
      <c r="D9" s="425">
        <f>SUM(D6:D8)</f>
        <v>1200</v>
      </c>
      <c r="E9" s="425">
        <f t="shared" ref="E9:H9" si="3">SUM(E6:E8)</f>
        <v>1200</v>
      </c>
      <c r="F9" s="425">
        <f t="shared" si="3"/>
        <v>1200</v>
      </c>
      <c r="G9" s="425">
        <f t="shared" si="3"/>
        <v>1200</v>
      </c>
      <c r="H9" s="425">
        <f t="shared" si="3"/>
        <v>1200</v>
      </c>
      <c r="K9" s="41" t="s">
        <v>5</v>
      </c>
      <c r="L9" s="41"/>
      <c r="M9" s="41"/>
      <c r="N9" s="238">
        <f>IF(N6=0,0,N8/N6)</f>
        <v>8.734057022198996E-2</v>
      </c>
      <c r="O9" s="238">
        <f t="shared" ref="O9:R9" si="4">IF(O6=0,0,O8/O6)</f>
        <v>8.7418916008485184E-2</v>
      </c>
      <c r="P9" s="238">
        <f t="shared" si="4"/>
        <v>8.7418916008485018E-2</v>
      </c>
      <c r="Q9" s="238">
        <f t="shared" si="4"/>
        <v>8.7418916008485018E-2</v>
      </c>
      <c r="R9" s="238">
        <f t="shared" si="4"/>
        <v>8.7418916008485018E-2</v>
      </c>
    </row>
    <row r="10" spans="1:18" x14ac:dyDescent="0.25">
      <c r="D10" s="12"/>
      <c r="E10" s="12"/>
      <c r="F10" s="12"/>
      <c r="G10" s="12"/>
      <c r="H10" s="12"/>
      <c r="K10" t="s">
        <v>215</v>
      </c>
      <c r="N10" s="232">
        <v>7764.4687999999996</v>
      </c>
      <c r="O10" s="232">
        <v>8152.6922400000003</v>
      </c>
      <c r="P10" s="232">
        <v>8560.3268520000001</v>
      </c>
      <c r="Q10" s="232">
        <v>8560.3268520000001</v>
      </c>
      <c r="R10" s="232">
        <v>8560.3268520000001</v>
      </c>
    </row>
    <row r="11" spans="1:18" x14ac:dyDescent="0.25">
      <c r="A11" s="229" t="s">
        <v>212</v>
      </c>
      <c r="D11" s="13"/>
      <c r="E11" s="13"/>
      <c r="F11" s="13"/>
      <c r="G11" s="13"/>
      <c r="H11" s="13"/>
      <c r="K11" s="250" t="s">
        <v>564</v>
      </c>
      <c r="N11" s="232">
        <v>380.06400000000002</v>
      </c>
      <c r="O11" s="232">
        <v>380.06400000000002</v>
      </c>
      <c r="P11" s="232">
        <v>380.06400000000002</v>
      </c>
      <c r="Q11" s="232">
        <v>380.06400000000002</v>
      </c>
      <c r="R11" s="232">
        <v>380.06400000000002</v>
      </c>
    </row>
    <row r="12" spans="1:18" x14ac:dyDescent="0.25">
      <c r="A12" t="str">
        <f>A$6</f>
        <v>Product 1</v>
      </c>
      <c r="D12" s="232">
        <v>345.55021887524742</v>
      </c>
      <c r="E12" s="232">
        <v>354.63238650929077</v>
      </c>
      <c r="F12" s="232">
        <v>363.49819617202297</v>
      </c>
      <c r="G12" s="232">
        <v>363.49819617202297</v>
      </c>
      <c r="H12" s="232">
        <v>363.49819617202297</v>
      </c>
      <c r="K12" s="250" t="s">
        <v>246</v>
      </c>
      <c r="N12" s="232">
        <v>1121.8768</v>
      </c>
      <c r="O12" s="232">
        <v>1177.97064</v>
      </c>
      <c r="P12" s="232">
        <v>1236.8691720000002</v>
      </c>
      <c r="Q12" s="232">
        <v>1236.8691720000002</v>
      </c>
      <c r="R12" s="232">
        <v>1236.8691720000002</v>
      </c>
    </row>
    <row r="13" spans="1:18" x14ac:dyDescent="0.25">
      <c r="A13" t="str">
        <f>A$7</f>
        <v>Product 2</v>
      </c>
      <c r="D13" s="232"/>
      <c r="E13" s="232"/>
      <c r="F13" s="232"/>
      <c r="G13" s="232"/>
      <c r="H13" s="232"/>
      <c r="K13" t="s">
        <v>216</v>
      </c>
      <c r="N13" s="251">
        <f>SUM(N10:N12)</f>
        <v>9266.409599999999</v>
      </c>
      <c r="O13" s="251">
        <f t="shared" ref="O13:R13" si="5">SUM(O10:O12)</f>
        <v>9710.7268800000002</v>
      </c>
      <c r="P13" s="251">
        <f t="shared" si="5"/>
        <v>10177.260024000001</v>
      </c>
      <c r="Q13" s="251">
        <f t="shared" si="5"/>
        <v>10177.260024000001</v>
      </c>
      <c r="R13" s="251">
        <f t="shared" si="5"/>
        <v>10177.260024000001</v>
      </c>
    </row>
    <row r="14" spans="1:18" x14ac:dyDescent="0.25">
      <c r="A14" t="str">
        <f>A$8</f>
        <v>Product 3</v>
      </c>
      <c r="D14" s="232"/>
      <c r="E14" s="232"/>
      <c r="F14" s="232"/>
      <c r="G14" s="232"/>
      <c r="H14" s="232"/>
      <c r="N14" s="36"/>
      <c r="O14" s="36"/>
      <c r="P14" s="36"/>
      <c r="Q14" s="36"/>
      <c r="R14" s="36"/>
    </row>
    <row r="15" spans="1:18" x14ac:dyDescent="0.25">
      <c r="D15" s="12"/>
      <c r="E15" s="12"/>
      <c r="F15" s="12"/>
      <c r="G15" s="12"/>
      <c r="H15" s="12"/>
      <c r="N15" s="36"/>
      <c r="O15" s="36"/>
      <c r="P15" s="36"/>
      <c r="Q15" s="36"/>
      <c r="R15" s="36"/>
    </row>
    <row r="16" spans="1:18" x14ac:dyDescent="0.25">
      <c r="A16" s="229" t="s">
        <v>184</v>
      </c>
      <c r="D16" s="12"/>
      <c r="E16" s="12"/>
      <c r="F16" s="12"/>
      <c r="G16" s="12"/>
      <c r="H16" s="12"/>
    </row>
    <row r="17" spans="1:26" x14ac:dyDescent="0.25">
      <c r="A17" t="str">
        <f>A$6</f>
        <v>Product 1</v>
      </c>
      <c r="D17" s="236">
        <v>8.734057022198996E-2</v>
      </c>
      <c r="E17" s="236">
        <v>8.7418916008485184E-2</v>
      </c>
      <c r="F17" s="236">
        <v>8.7418916008485018E-2</v>
      </c>
      <c r="G17" s="236">
        <v>8.7418916008485018E-2</v>
      </c>
      <c r="H17" s="236">
        <v>8.7418916008485018E-2</v>
      </c>
      <c r="N17" s="145"/>
      <c r="O17" s="145"/>
      <c r="P17" s="145"/>
    </row>
    <row r="18" spans="1:26" x14ac:dyDescent="0.25">
      <c r="A18" t="str">
        <f>A$7</f>
        <v>Product 2</v>
      </c>
      <c r="D18" s="236"/>
      <c r="E18" s="236"/>
      <c r="F18" s="236"/>
      <c r="G18" s="236"/>
      <c r="H18" s="236"/>
    </row>
    <row r="19" spans="1:26" x14ac:dyDescent="0.25">
      <c r="A19" t="str">
        <f>A$8</f>
        <v>Product 3</v>
      </c>
      <c r="D19" s="236"/>
      <c r="E19" s="236"/>
      <c r="F19" s="236"/>
      <c r="G19" s="236"/>
      <c r="H19" s="236"/>
    </row>
    <row r="20" spans="1:26" x14ac:dyDescent="0.25">
      <c r="D20" s="12"/>
      <c r="E20" s="12"/>
      <c r="F20" s="12"/>
      <c r="G20" s="12"/>
      <c r="H20" s="12"/>
    </row>
    <row r="21" spans="1:26" x14ac:dyDescent="0.25">
      <c r="A21" s="36" t="s">
        <v>211</v>
      </c>
      <c r="D21" s="248">
        <v>3</v>
      </c>
      <c r="E21" s="248">
        <v>3</v>
      </c>
      <c r="F21" s="248">
        <v>3</v>
      </c>
      <c r="G21" s="248">
        <v>3</v>
      </c>
      <c r="H21" s="248">
        <v>3</v>
      </c>
    </row>
    <row r="22" spans="1:26" x14ac:dyDescent="0.25">
      <c r="D22" s="12"/>
      <c r="E22" s="12"/>
      <c r="F22" s="12"/>
      <c r="G22" s="12"/>
      <c r="H22" s="12"/>
    </row>
    <row r="23" spans="1:26" x14ac:dyDescent="0.25">
      <c r="A23" s="229" t="s">
        <v>185</v>
      </c>
      <c r="D23" s="12"/>
      <c r="E23" s="12"/>
      <c r="F23" s="12"/>
      <c r="G23" s="12"/>
      <c r="H23" s="12"/>
    </row>
    <row r="24" spans="1:26" s="14" customFormat="1" x14ac:dyDescent="0.25">
      <c r="A24" t="s">
        <v>187</v>
      </c>
      <c r="B24"/>
      <c r="C24"/>
      <c r="D24" s="252">
        <v>2000</v>
      </c>
      <c r="E24" s="252">
        <v>2500</v>
      </c>
      <c r="F24" s="252">
        <v>2500</v>
      </c>
      <c r="G24" s="252">
        <v>2500</v>
      </c>
      <c r="H24" s="252">
        <v>2500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x14ac:dyDescent="0.25">
      <c r="A25" t="s">
        <v>186</v>
      </c>
      <c r="D25" s="252">
        <v>0</v>
      </c>
      <c r="E25" s="252">
        <v>0</v>
      </c>
      <c r="F25" s="252">
        <v>0</v>
      </c>
      <c r="G25" s="252">
        <v>0</v>
      </c>
      <c r="H25" s="252">
        <v>0</v>
      </c>
    </row>
    <row r="26" spans="1:26" x14ac:dyDescent="0.25">
      <c r="A26" s="36" t="s">
        <v>188</v>
      </c>
      <c r="D26" s="237">
        <f>SUM(D24:D25)</f>
        <v>2000</v>
      </c>
      <c r="E26" s="237">
        <f t="shared" ref="E26:H26" si="6">SUM(E24:E25)</f>
        <v>2500</v>
      </c>
      <c r="F26" s="237">
        <f t="shared" si="6"/>
        <v>2500</v>
      </c>
      <c r="G26" s="237">
        <f t="shared" si="6"/>
        <v>2500</v>
      </c>
      <c r="H26" s="237">
        <f t="shared" si="6"/>
        <v>2500</v>
      </c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6" s="14" customFormat="1" x14ac:dyDescent="0.25">
      <c r="A27"/>
      <c r="B27"/>
      <c r="C27"/>
      <c r="D27" s="12"/>
      <c r="E27" s="12"/>
      <c r="F27" s="12"/>
      <c r="G27" s="12"/>
      <c r="H27" s="12"/>
      <c r="I27"/>
      <c r="J27"/>
      <c r="U27"/>
      <c r="V27"/>
      <c r="W27"/>
      <c r="X27"/>
      <c r="Y27"/>
      <c r="Z27"/>
    </row>
    <row r="28" spans="1:26" s="14" customFormat="1" x14ac:dyDescent="0.25">
      <c r="A28" s="229" t="s">
        <v>213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x14ac:dyDescent="0.25">
      <c r="A29" t="str">
        <f>A$6</f>
        <v>Product 1</v>
      </c>
      <c r="D29" s="233">
        <f t="shared" ref="D29:H31" si="7">D6*D12/D$21</f>
        <v>138220.08755009898</v>
      </c>
      <c r="E29" s="233">
        <f t="shared" si="7"/>
        <v>141852.95460371629</v>
      </c>
      <c r="F29" s="233">
        <f t="shared" si="7"/>
        <v>145399.27846880918</v>
      </c>
      <c r="G29" s="233">
        <f t="shared" si="7"/>
        <v>145399.27846880918</v>
      </c>
      <c r="H29" s="233">
        <f t="shared" si="7"/>
        <v>145399.27846880918</v>
      </c>
    </row>
    <row r="30" spans="1:26" x14ac:dyDescent="0.25">
      <c r="A30" t="str">
        <f>A$7</f>
        <v>Product 2</v>
      </c>
      <c r="D30" s="233">
        <f t="shared" si="7"/>
        <v>0</v>
      </c>
      <c r="E30" s="233">
        <f t="shared" si="7"/>
        <v>0</v>
      </c>
      <c r="F30" s="233">
        <f t="shared" si="7"/>
        <v>0</v>
      </c>
      <c r="G30" s="233">
        <f t="shared" si="7"/>
        <v>0</v>
      </c>
      <c r="H30" s="233">
        <f t="shared" si="7"/>
        <v>0</v>
      </c>
    </row>
    <row r="31" spans="1:26" x14ac:dyDescent="0.25">
      <c r="A31" t="str">
        <f>A$8</f>
        <v>Product 3</v>
      </c>
      <c r="D31" s="233">
        <f t="shared" si="7"/>
        <v>0</v>
      </c>
      <c r="E31" s="233">
        <f t="shared" si="7"/>
        <v>0</v>
      </c>
      <c r="F31" s="233">
        <f t="shared" si="7"/>
        <v>0</v>
      </c>
      <c r="G31" s="233">
        <f t="shared" si="7"/>
        <v>0</v>
      </c>
      <c r="H31" s="233">
        <f t="shared" si="7"/>
        <v>0</v>
      </c>
    </row>
    <row r="32" spans="1:26" x14ac:dyDescent="0.25">
      <c r="A32" s="36" t="s">
        <v>189</v>
      </c>
      <c r="C32" s="36"/>
      <c r="D32" s="237">
        <f t="shared" ref="D32:H32" si="8">SUM(D29:D31)</f>
        <v>138220.08755009898</v>
      </c>
      <c r="E32" s="237">
        <f t="shared" si="8"/>
        <v>141852.95460371629</v>
      </c>
      <c r="F32" s="237">
        <f t="shared" si="8"/>
        <v>145399.27846880918</v>
      </c>
      <c r="G32" s="237">
        <f t="shared" si="8"/>
        <v>145399.27846880918</v>
      </c>
      <c r="H32" s="237">
        <f t="shared" si="8"/>
        <v>145399.27846880918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6" s="14" customFormat="1" x14ac:dyDescent="0.25">
      <c r="A33"/>
      <c r="B33"/>
      <c r="C33"/>
      <c r="D33" s="12"/>
      <c r="E33" s="12"/>
      <c r="F33" s="12"/>
      <c r="G33" s="12"/>
      <c r="H33" s="12"/>
      <c r="I33"/>
      <c r="J33"/>
      <c r="U33"/>
      <c r="V33"/>
      <c r="W33"/>
      <c r="X33"/>
      <c r="Y33"/>
      <c r="Z33"/>
    </row>
    <row r="34" spans="1:26" s="14" customFormat="1" x14ac:dyDescent="0.25">
      <c r="A34" s="229" t="s">
        <v>214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x14ac:dyDescent="0.25">
      <c r="A35" t="str">
        <f>A$6</f>
        <v>Product 1</v>
      </c>
      <c r="D35" s="233">
        <f t="shared" ref="D35:H37" si="9">D29*(1-D17)</f>
        <v>126147.86628733996</v>
      </c>
      <c r="E35" s="233">
        <f t="shared" si="9"/>
        <v>129452.32307965856</v>
      </c>
      <c r="F35" s="233">
        <f t="shared" si="9"/>
        <v>132688.63115665002</v>
      </c>
      <c r="G35" s="233">
        <f t="shared" si="9"/>
        <v>132688.63115665002</v>
      </c>
      <c r="H35" s="233">
        <f t="shared" si="9"/>
        <v>132688.63115665002</v>
      </c>
    </row>
    <row r="36" spans="1:26" x14ac:dyDescent="0.25">
      <c r="A36" t="str">
        <f>A$7</f>
        <v>Product 2</v>
      </c>
      <c r="D36" s="233">
        <f t="shared" si="9"/>
        <v>0</v>
      </c>
      <c r="E36" s="233">
        <f t="shared" si="9"/>
        <v>0</v>
      </c>
      <c r="F36" s="233">
        <f t="shared" si="9"/>
        <v>0</v>
      </c>
      <c r="G36" s="233">
        <f t="shared" si="9"/>
        <v>0</v>
      </c>
      <c r="H36" s="233">
        <f t="shared" si="9"/>
        <v>0</v>
      </c>
    </row>
    <row r="37" spans="1:26" x14ac:dyDescent="0.25">
      <c r="A37" t="str">
        <f>A$8</f>
        <v>Product 3</v>
      </c>
      <c r="D37" s="233">
        <f t="shared" si="9"/>
        <v>0</v>
      </c>
      <c r="E37" s="233">
        <f t="shared" si="9"/>
        <v>0</v>
      </c>
      <c r="F37" s="233">
        <f t="shared" si="9"/>
        <v>0</v>
      </c>
      <c r="G37" s="233">
        <f t="shared" si="9"/>
        <v>0</v>
      </c>
      <c r="H37" s="233">
        <f t="shared" si="9"/>
        <v>0</v>
      </c>
    </row>
    <row r="38" spans="1:26" x14ac:dyDescent="0.25">
      <c r="A38" s="36" t="s">
        <v>192</v>
      </c>
      <c r="C38" s="36"/>
      <c r="D38" s="237">
        <f t="shared" ref="D38:H38" si="10">SUM(D35:D37)</f>
        <v>126147.86628733996</v>
      </c>
      <c r="E38" s="237">
        <f t="shared" si="10"/>
        <v>129452.32307965856</v>
      </c>
      <c r="F38" s="237">
        <f t="shared" si="10"/>
        <v>132688.63115665002</v>
      </c>
      <c r="G38" s="237">
        <f t="shared" si="10"/>
        <v>132688.63115665002</v>
      </c>
      <c r="H38" s="237">
        <f t="shared" si="10"/>
        <v>132688.63115665002</v>
      </c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26" s="14" customFormat="1" x14ac:dyDescent="0.25">
      <c r="A39"/>
      <c r="B39"/>
      <c r="C39"/>
      <c r="D39" s="12"/>
      <c r="E39" s="12"/>
      <c r="F39" s="12"/>
      <c r="G39" s="12"/>
      <c r="H39" s="12"/>
      <c r="I39"/>
      <c r="J39"/>
      <c r="U39"/>
      <c r="V39"/>
      <c r="W39"/>
      <c r="X39"/>
      <c r="Y39"/>
      <c r="Z39"/>
    </row>
    <row r="40" spans="1:26" s="14" customFormat="1" x14ac:dyDescent="0.25">
      <c r="A40" s="229" t="s">
        <v>193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x14ac:dyDescent="0.25">
      <c r="A41" t="str">
        <f>A$6</f>
        <v>Product 1</v>
      </c>
      <c r="D41" s="233">
        <f t="shared" ref="D41:H43" si="11">D17*D29</f>
        <v>12072.22126275902</v>
      </c>
      <c r="E41" s="233">
        <f t="shared" si="11"/>
        <v>12400.631524057737</v>
      </c>
      <c r="F41" s="233">
        <f t="shared" si="11"/>
        <v>12710.647312159153</v>
      </c>
      <c r="G41" s="233">
        <f t="shared" si="11"/>
        <v>12710.647312159153</v>
      </c>
      <c r="H41" s="233">
        <f t="shared" si="11"/>
        <v>12710.647312159153</v>
      </c>
    </row>
    <row r="42" spans="1:26" x14ac:dyDescent="0.25">
      <c r="A42" t="str">
        <f>A$7</f>
        <v>Product 2</v>
      </c>
      <c r="D42" s="233">
        <f t="shared" si="11"/>
        <v>0</v>
      </c>
      <c r="E42" s="233">
        <f t="shared" si="11"/>
        <v>0</v>
      </c>
      <c r="F42" s="233">
        <f t="shared" si="11"/>
        <v>0</v>
      </c>
      <c r="G42" s="233">
        <f t="shared" si="11"/>
        <v>0</v>
      </c>
      <c r="H42" s="233">
        <f t="shared" si="11"/>
        <v>0</v>
      </c>
    </row>
    <row r="43" spans="1:26" x14ac:dyDescent="0.25">
      <c r="A43" t="str">
        <f>A$8</f>
        <v>Product 3</v>
      </c>
      <c r="D43" s="233">
        <f t="shared" si="11"/>
        <v>0</v>
      </c>
      <c r="E43" s="233">
        <f t="shared" si="11"/>
        <v>0</v>
      </c>
      <c r="F43" s="233">
        <f t="shared" si="11"/>
        <v>0</v>
      </c>
      <c r="G43" s="233">
        <f t="shared" si="11"/>
        <v>0</v>
      </c>
      <c r="H43" s="233">
        <f t="shared" si="11"/>
        <v>0</v>
      </c>
    </row>
    <row r="44" spans="1:26" x14ac:dyDescent="0.25">
      <c r="A44" s="36" t="s">
        <v>192</v>
      </c>
      <c r="C44" s="36"/>
      <c r="D44" s="237">
        <f t="shared" ref="D44:H44" si="12">SUM(D41:D43)</f>
        <v>12072.22126275902</v>
      </c>
      <c r="E44" s="237">
        <f t="shared" si="12"/>
        <v>12400.631524057737</v>
      </c>
      <c r="F44" s="237">
        <f t="shared" si="12"/>
        <v>12710.647312159153</v>
      </c>
      <c r="G44" s="237">
        <f t="shared" si="12"/>
        <v>12710.647312159153</v>
      </c>
      <c r="H44" s="237">
        <f t="shared" si="12"/>
        <v>12710.647312159153</v>
      </c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6" s="14" customFormat="1" x14ac:dyDescent="0.25">
      <c r="A45"/>
      <c r="B45"/>
      <c r="C45"/>
      <c r="D45" s="12"/>
      <c r="E45" s="12"/>
      <c r="F45" s="12"/>
      <c r="G45" s="12"/>
      <c r="H45" s="12"/>
      <c r="I45"/>
      <c r="J45"/>
    </row>
    <row r="46" spans="1:26" s="14" customFormat="1" x14ac:dyDescent="0.25">
      <c r="A46"/>
      <c r="B46"/>
      <c r="C46"/>
      <c r="D46" s="36"/>
      <c r="E46" s="36"/>
      <c r="F46" s="36"/>
      <c r="G46" s="36"/>
      <c r="H46" s="36"/>
      <c r="I46"/>
      <c r="K46"/>
      <c r="L46"/>
      <c r="M46"/>
      <c r="N46"/>
      <c r="O46"/>
      <c r="P46"/>
      <c r="Q46"/>
      <c r="R46"/>
      <c r="S46"/>
      <c r="T46"/>
    </row>
    <row r="47" spans="1:26" x14ac:dyDescent="0.25">
      <c r="J47" s="14"/>
    </row>
    <row r="48" spans="1:26" x14ac:dyDescent="0.25">
      <c r="J48" s="14"/>
    </row>
    <row r="49" spans="10:10" x14ac:dyDescent="0.25">
      <c r="J49" s="41"/>
    </row>
    <row r="52" spans="10:10" x14ac:dyDescent="0.25">
      <c r="J52" s="14"/>
    </row>
    <row r="53" spans="10:10" x14ac:dyDescent="0.25">
      <c r="J53" s="14"/>
    </row>
    <row r="54" spans="10:10" x14ac:dyDescent="0.25">
      <c r="J54" s="14"/>
    </row>
    <row r="55" spans="10:10" x14ac:dyDescent="0.25">
      <c r="J55" s="14"/>
    </row>
    <row r="56" spans="10:10" x14ac:dyDescent="0.25">
      <c r="J56" s="41"/>
    </row>
    <row r="58" spans="10:10" x14ac:dyDescent="0.25">
      <c r="J58" s="14"/>
    </row>
    <row r="59" spans="10:10" x14ac:dyDescent="0.25">
      <c r="J59" s="14"/>
    </row>
    <row r="60" spans="10:10" x14ac:dyDescent="0.25">
      <c r="J60" s="14"/>
    </row>
    <row r="61" spans="10:10" x14ac:dyDescent="0.25">
      <c r="J61" s="14"/>
    </row>
    <row r="62" spans="10:10" x14ac:dyDescent="0.25">
      <c r="J62" s="14"/>
    </row>
    <row r="63" spans="10:10" x14ac:dyDescent="0.25">
      <c r="J63" s="14"/>
    </row>
    <row r="64" spans="10:10" x14ac:dyDescent="0.25">
      <c r="J64" s="14"/>
    </row>
    <row r="67" spans="10:10" x14ac:dyDescent="0.25">
      <c r="J67" s="14"/>
    </row>
    <row r="68" spans="10:10" x14ac:dyDescent="0.25">
      <c r="J68" s="14"/>
    </row>
    <row r="69" spans="10:10" x14ac:dyDescent="0.25">
      <c r="J69" s="14"/>
    </row>
    <row r="70" spans="10:10" x14ac:dyDescent="0.25">
      <c r="J70" s="14"/>
    </row>
  </sheetData>
  <sheetProtection algorithmName="SHA-512" hashValue="lPPzRlm9aKwLYvNZwIdVT0Xx+leKRzudsIrHZWuiVArxBSkk+/n3JnlVq23MJIeD1EOnJ4wef4oqy0EUltdfgA==" saltValue="kOMAPv71mfc8jaWWDDM/lw==" spinCount="100000" sheet="1" objects="1" scenarios="1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1:AF36"/>
  <sheetViews>
    <sheetView zoomScale="85" zoomScaleNormal="85" workbookViewId="0">
      <pane xSplit="2" ySplit="4" topLeftCell="C5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5.7109375" customWidth="1"/>
    <col min="2" max="2" width="26.28515625" customWidth="1"/>
    <col min="3" max="3" width="2.85546875" customWidth="1"/>
    <col min="4" max="4" width="8.28515625" customWidth="1"/>
    <col min="5" max="7" width="9.140625" customWidth="1"/>
    <col min="8" max="8" width="8.85546875" style="36" customWidth="1"/>
    <col min="9" max="12" width="8" customWidth="1"/>
    <col min="13" max="17" width="8.28515625" style="36" bestFit="1" customWidth="1"/>
    <col min="18" max="18" width="9.42578125" customWidth="1"/>
  </cols>
  <sheetData>
    <row r="1" spans="1:32" x14ac:dyDescent="0.25">
      <c r="A1" s="43" t="s">
        <v>565</v>
      </c>
      <c r="H1"/>
      <c r="M1"/>
      <c r="N1"/>
      <c r="O1"/>
      <c r="P1"/>
      <c r="Q1"/>
      <c r="R1" s="14"/>
    </row>
    <row r="2" spans="1:32" ht="15.75" thickBot="1" x14ac:dyDescent="0.3">
      <c r="A2" s="43" t="s">
        <v>0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21" t="s">
        <v>443</v>
      </c>
    </row>
    <row r="3" spans="1:32" ht="15.75" thickBot="1" x14ac:dyDescent="0.3">
      <c r="C3" s="38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14"/>
    </row>
    <row r="4" spans="1:32" s="417" customFormat="1" x14ac:dyDescent="0.25">
      <c r="D4" s="418"/>
      <c r="E4" s="418"/>
      <c r="F4" s="418"/>
      <c r="G4" s="427" t="s">
        <v>474</v>
      </c>
      <c r="H4" s="419">
        <f t="shared" ref="H4:Q4" ca="1" si="0">(H3-NOW())/365</f>
        <v>-3.8153087176560154</v>
      </c>
      <c r="I4" s="419">
        <f t="shared" ca="1" si="0"/>
        <v>-5.9002402245053309</v>
      </c>
      <c r="J4" s="419">
        <f t="shared" ca="1" si="0"/>
        <v>-5.6536648820395774</v>
      </c>
      <c r="K4" s="419">
        <f t="shared" ca="1" si="0"/>
        <v>-5.4016100875190292</v>
      </c>
      <c r="L4" s="419">
        <f t="shared" ca="1" si="0"/>
        <v>-5.1495552929984809</v>
      </c>
      <c r="M4" s="419">
        <f t="shared" ca="1" si="0"/>
        <v>-2.8153087176560154</v>
      </c>
      <c r="N4" s="419">
        <f t="shared" ca="1" si="0"/>
        <v>-1.8125689916286183</v>
      </c>
      <c r="O4" s="419">
        <f t="shared" ca="1" si="0"/>
        <v>-0.81256899162861818</v>
      </c>
      <c r="P4" s="419">
        <f t="shared" ca="1" si="0"/>
        <v>0.1874310083713818</v>
      </c>
      <c r="Q4" s="419">
        <f t="shared" ca="1" si="0"/>
        <v>1.1874310083713817</v>
      </c>
      <c r="R4" s="419">
        <f ca="1">IF(COUNT($P4:Q4)-2&lt;$D$29,Q4+1,0)</f>
        <v>2.1874310083713819</v>
      </c>
      <c r="S4" s="419">
        <f ca="1">IF(COUNT($P4:R4)-2&lt;$D$29,R4+1,0)</f>
        <v>3.1874310083713819</v>
      </c>
      <c r="T4" s="419">
        <f ca="1">IF(COUNT($P4:S4)-2&lt;$D$29,S4+1,0)</f>
        <v>4.1874310083713819</v>
      </c>
      <c r="U4" s="419">
        <f ca="1">IF(COUNT($P4:T4)-2&lt;$D$29,T4+1,0)</f>
        <v>5.1874310083713819</v>
      </c>
      <c r="V4" s="419">
        <f ca="1">IF(COUNT($P4:U4)-2&lt;$D$29,U4+1,0)</f>
        <v>6.1874310083713819</v>
      </c>
      <c r="W4" s="419">
        <f ca="1">IF(COUNT($P4:V4)-2&lt;$D$29,V4+1,0)</f>
        <v>7.1874310083713819</v>
      </c>
      <c r="X4" s="419">
        <f ca="1">IF(COUNT($P4:W4)-2&lt;$D$29,W4+1,0)</f>
        <v>8.1874310083713819</v>
      </c>
      <c r="Y4" s="419">
        <f ca="1">IF(COUNT($P4:X4)-2&lt;$D$29,X4+1,0)</f>
        <v>9.1874310083713819</v>
      </c>
      <c r="Z4" s="419">
        <f ca="1">IF(COUNT($P4:Y4)-2&lt;$D$29,Y4+1,0)</f>
        <v>10.187431008371382</v>
      </c>
      <c r="AA4" s="419">
        <f ca="1">IF(COUNT($P4:Z4)-2&lt;$D$29,Z4+1,0)</f>
        <v>11.187431008371382</v>
      </c>
      <c r="AB4" s="420"/>
      <c r="AC4" s="420"/>
      <c r="AD4" s="420"/>
      <c r="AE4" s="420"/>
      <c r="AF4" s="420"/>
    </row>
    <row r="5" spans="1:32" s="14" customFormat="1" x14ac:dyDescent="0.25">
      <c r="A5" s="14" t="s">
        <v>2</v>
      </c>
      <c r="D5" s="39">
        <v>209873</v>
      </c>
      <c r="E5" s="39">
        <v>143868</v>
      </c>
      <c r="F5" s="39">
        <v>80734</v>
      </c>
      <c r="G5" s="39">
        <v>88535</v>
      </c>
      <c r="H5" s="39">
        <v>124787</v>
      </c>
      <c r="I5" s="247">
        <f>$M5/4</f>
        <v>34555.021887524745</v>
      </c>
      <c r="J5" s="247">
        <f t="shared" ref="J5:L5" si="1">$M5/4</f>
        <v>34555.021887524745</v>
      </c>
      <c r="K5" s="247">
        <f t="shared" si="1"/>
        <v>34555.021887524745</v>
      </c>
      <c r="L5" s="247">
        <f t="shared" si="1"/>
        <v>34555.021887524745</v>
      </c>
      <c r="M5" s="247">
        <f>Biz2drivers!N6</f>
        <v>138220.08755009898</v>
      </c>
      <c r="N5" s="128">
        <f>Biz2drivers!O6</f>
        <v>141852.95460371629</v>
      </c>
      <c r="O5" s="128">
        <f>Biz2drivers!P6</f>
        <v>145399.27846880918</v>
      </c>
      <c r="P5" s="128">
        <f>Biz2drivers!Q6</f>
        <v>145399.27846880918</v>
      </c>
      <c r="Q5" s="128">
        <f>Biz2drivers!R6</f>
        <v>145399.27846880918</v>
      </c>
    </row>
    <row r="6" spans="1:32" s="14" customFormat="1" x14ac:dyDescent="0.25">
      <c r="B6" s="14" t="s">
        <v>3</v>
      </c>
      <c r="D6" s="39">
        <v>198972</v>
      </c>
      <c r="E6" s="39">
        <v>131166</v>
      </c>
      <c r="F6" s="39">
        <v>69329</v>
      </c>
      <c r="G6" s="39">
        <v>78283</v>
      </c>
      <c r="H6" s="39">
        <v>114899</v>
      </c>
      <c r="I6" s="247">
        <f>$M6/4</f>
        <v>31536.96657183499</v>
      </c>
      <c r="J6" s="247">
        <f t="shared" ref="J6:L6" si="2">$M6/4</f>
        <v>31536.96657183499</v>
      </c>
      <c r="K6" s="247">
        <f t="shared" si="2"/>
        <v>31536.96657183499</v>
      </c>
      <c r="L6" s="247">
        <f t="shared" si="2"/>
        <v>31536.96657183499</v>
      </c>
      <c r="M6" s="247">
        <f>Biz2drivers!N7</f>
        <v>126147.86628733996</v>
      </c>
      <c r="N6" s="128">
        <f>Biz2drivers!O7</f>
        <v>129452.32307965856</v>
      </c>
      <c r="O6" s="128">
        <f>Biz2drivers!P7</f>
        <v>132688.63115665002</v>
      </c>
      <c r="P6" s="128">
        <f>Biz2drivers!Q7</f>
        <v>132688.63115665002</v>
      </c>
      <c r="Q6" s="128">
        <f>Biz2drivers!R7</f>
        <v>132688.63115665002</v>
      </c>
    </row>
    <row r="7" spans="1:32" s="14" customFormat="1" x14ac:dyDescent="0.25">
      <c r="A7" s="14" t="s">
        <v>4</v>
      </c>
      <c r="D7" s="35">
        <f t="shared" ref="D7:Q7" si="3">D5-D6</f>
        <v>10901</v>
      </c>
      <c r="E7" s="35">
        <f t="shared" si="3"/>
        <v>12702</v>
      </c>
      <c r="F7" s="35">
        <f t="shared" si="3"/>
        <v>11405</v>
      </c>
      <c r="G7" s="35">
        <f t="shared" si="3"/>
        <v>10252</v>
      </c>
      <c r="H7" s="35">
        <f t="shared" si="3"/>
        <v>9888</v>
      </c>
      <c r="I7" s="35">
        <f t="shared" si="3"/>
        <v>3018.0553156897549</v>
      </c>
      <c r="J7" s="35">
        <f t="shared" si="3"/>
        <v>3018.0553156897549</v>
      </c>
      <c r="K7" s="35">
        <f t="shared" si="3"/>
        <v>3018.0553156897549</v>
      </c>
      <c r="L7" s="35">
        <f t="shared" si="3"/>
        <v>3018.0553156897549</v>
      </c>
      <c r="M7" s="35">
        <f t="shared" si="3"/>
        <v>12072.22126275902</v>
      </c>
      <c r="N7" s="35">
        <f t="shared" si="3"/>
        <v>12400.631524057739</v>
      </c>
      <c r="O7" s="35">
        <f t="shared" si="3"/>
        <v>12710.647312159155</v>
      </c>
      <c r="P7" s="35">
        <f t="shared" si="3"/>
        <v>12710.647312159155</v>
      </c>
      <c r="Q7" s="35">
        <f t="shared" si="3"/>
        <v>12710.647312159155</v>
      </c>
    </row>
    <row r="8" spans="1:32" s="41" customFormat="1" x14ac:dyDescent="0.25">
      <c r="A8" s="41" t="s">
        <v>5</v>
      </c>
      <c r="D8" s="42">
        <f t="shared" ref="D8:Q8" si="4">IF(ISERROR(D7/D5),0,D7/D5)</f>
        <v>5.1940935708738138E-2</v>
      </c>
      <c r="E8" s="42">
        <f t="shared" si="4"/>
        <v>8.8289265159729749E-2</v>
      </c>
      <c r="F8" s="42">
        <f t="shared" si="4"/>
        <v>0.14126638095474026</v>
      </c>
      <c r="G8" s="42">
        <f t="shared" si="4"/>
        <v>0.11579601287626362</v>
      </c>
      <c r="H8" s="42">
        <f t="shared" si="4"/>
        <v>7.9239023295695862E-2</v>
      </c>
      <c r="I8" s="42">
        <f t="shared" si="4"/>
        <v>8.734057022198996E-2</v>
      </c>
      <c r="J8" s="42">
        <f t="shared" si="4"/>
        <v>8.734057022198996E-2</v>
      </c>
      <c r="K8" s="42">
        <f t="shared" si="4"/>
        <v>8.734057022198996E-2</v>
      </c>
      <c r="L8" s="42">
        <f t="shared" si="4"/>
        <v>8.734057022198996E-2</v>
      </c>
      <c r="M8" s="42">
        <f t="shared" si="4"/>
        <v>8.734057022198996E-2</v>
      </c>
      <c r="N8" s="42">
        <f t="shared" si="4"/>
        <v>8.7418916008485198E-2</v>
      </c>
      <c r="O8" s="42">
        <f t="shared" si="4"/>
        <v>8.7418916008485031E-2</v>
      </c>
      <c r="P8" s="42">
        <f t="shared" si="4"/>
        <v>8.7418916008485031E-2</v>
      </c>
      <c r="Q8" s="42">
        <f t="shared" si="4"/>
        <v>8.7418916008485031E-2</v>
      </c>
      <c r="R8" s="14"/>
    </row>
    <row r="9" spans="1:32" s="14" customFormat="1" x14ac:dyDescent="0.25">
      <c r="B9" s="14" t="s">
        <v>6</v>
      </c>
      <c r="D9" s="39">
        <v>8415.0110000000004</v>
      </c>
      <c r="E9" s="39">
        <v>7380.4480000000003</v>
      </c>
      <c r="F9" s="39">
        <v>6990.5599999999995</v>
      </c>
      <c r="G9" s="39">
        <v>8331.2000000000007</v>
      </c>
      <c r="H9" s="39">
        <v>8458.56</v>
      </c>
      <c r="I9" s="247">
        <f t="shared" ref="I9:L9" si="5">$M9/4</f>
        <v>2316.6023999999998</v>
      </c>
      <c r="J9" s="247">
        <f t="shared" si="5"/>
        <v>2316.6023999999998</v>
      </c>
      <c r="K9" s="247">
        <f t="shared" si="5"/>
        <v>2316.6023999999998</v>
      </c>
      <c r="L9" s="247">
        <f t="shared" si="5"/>
        <v>2316.6023999999998</v>
      </c>
      <c r="M9" s="35">
        <f>Biz2drivers!N13</f>
        <v>9266.409599999999</v>
      </c>
      <c r="N9" s="35">
        <f>Biz2drivers!O13</f>
        <v>9710.7268800000002</v>
      </c>
      <c r="O9" s="35">
        <f>Biz2drivers!P13</f>
        <v>10177.260024000001</v>
      </c>
      <c r="P9" s="35">
        <f>Biz2drivers!Q13</f>
        <v>10177.260024000001</v>
      </c>
      <c r="Q9" s="35">
        <f>Biz2drivers!R13</f>
        <v>10177.260024000001</v>
      </c>
    </row>
    <row r="10" spans="1:32" s="14" customFormat="1" x14ac:dyDescent="0.25">
      <c r="A10" s="14" t="s">
        <v>16</v>
      </c>
      <c r="D10" s="35">
        <f>D7-D9</f>
        <v>2485.9889999999996</v>
      </c>
      <c r="E10" s="35">
        <f t="shared" ref="E10:Q10" si="6">E7-E9</f>
        <v>5321.5519999999997</v>
      </c>
      <c r="F10" s="35">
        <f t="shared" si="6"/>
        <v>4414.4400000000005</v>
      </c>
      <c r="G10" s="35">
        <f t="shared" si="6"/>
        <v>1920.7999999999993</v>
      </c>
      <c r="H10" s="35">
        <f t="shared" si="6"/>
        <v>1429.4400000000005</v>
      </c>
      <c r="I10" s="35">
        <f t="shared" si="6"/>
        <v>701.45291568975517</v>
      </c>
      <c r="J10" s="35">
        <f t="shared" si="6"/>
        <v>701.45291568975517</v>
      </c>
      <c r="K10" s="35">
        <f t="shared" si="6"/>
        <v>701.45291568975517</v>
      </c>
      <c r="L10" s="35">
        <f t="shared" si="6"/>
        <v>701.45291568975517</v>
      </c>
      <c r="M10" s="35">
        <f t="shared" si="6"/>
        <v>2805.8116627590207</v>
      </c>
      <c r="N10" s="35">
        <f t="shared" si="6"/>
        <v>2689.9046440577386</v>
      </c>
      <c r="O10" s="35">
        <f t="shared" si="6"/>
        <v>2533.3872881591542</v>
      </c>
      <c r="P10" s="35">
        <f t="shared" si="6"/>
        <v>2533.3872881591542</v>
      </c>
      <c r="Q10" s="35">
        <f t="shared" si="6"/>
        <v>2533.3872881591542</v>
      </c>
    </row>
    <row r="11" spans="1:32" s="14" customFormat="1" x14ac:dyDescent="0.25">
      <c r="B11" s="14" t="s">
        <v>8</v>
      </c>
      <c r="D11" s="39"/>
      <c r="E11" s="39"/>
      <c r="F11" s="39"/>
      <c r="G11" s="39"/>
      <c r="H11" s="39"/>
      <c r="I11" s="39">
        <f t="shared" ref="I11:L12" si="7">$M11/4</f>
        <v>0</v>
      </c>
      <c r="J11" s="39">
        <f t="shared" si="7"/>
        <v>0</v>
      </c>
      <c r="K11" s="39">
        <f t="shared" si="7"/>
        <v>0</v>
      </c>
      <c r="L11" s="39">
        <f t="shared" si="7"/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</row>
    <row r="12" spans="1:32" s="14" customFormat="1" x14ac:dyDescent="0.25">
      <c r="B12" s="14" t="s">
        <v>15</v>
      </c>
      <c r="D12" s="39">
        <v>2831.9</v>
      </c>
      <c r="E12" s="39">
        <v>1914.4680000000001</v>
      </c>
      <c r="F12" s="39">
        <v>1909.3019999999999</v>
      </c>
      <c r="G12" s="39">
        <v>1582.761</v>
      </c>
      <c r="H12" s="39">
        <v>1798</v>
      </c>
      <c r="I12" s="39">
        <f t="shared" si="7"/>
        <v>500</v>
      </c>
      <c r="J12" s="39">
        <f t="shared" si="7"/>
        <v>500</v>
      </c>
      <c r="K12" s="39">
        <f t="shared" si="7"/>
        <v>500</v>
      </c>
      <c r="L12" s="39">
        <f t="shared" si="7"/>
        <v>500</v>
      </c>
      <c r="M12" s="39">
        <v>2000</v>
      </c>
      <c r="N12" s="39">
        <v>2000</v>
      </c>
      <c r="O12" s="39">
        <v>2250</v>
      </c>
      <c r="P12" s="39">
        <v>2250</v>
      </c>
      <c r="Q12" s="39">
        <v>2250</v>
      </c>
    </row>
    <row r="13" spans="1:32" s="14" customFormat="1" x14ac:dyDescent="0.25">
      <c r="A13" s="14" t="s">
        <v>17</v>
      </c>
      <c r="D13" s="35">
        <f>D10-D11-D12</f>
        <v>-345.91100000000051</v>
      </c>
      <c r="E13" s="35">
        <f t="shared" ref="E13:Q13" si="8">E10-E11-E12</f>
        <v>3407.0839999999998</v>
      </c>
      <c r="F13" s="35">
        <f t="shared" si="8"/>
        <v>2505.1380000000008</v>
      </c>
      <c r="G13" s="35">
        <f t="shared" si="8"/>
        <v>338.03899999999931</v>
      </c>
      <c r="H13" s="35">
        <f t="shared" si="8"/>
        <v>-368.55999999999949</v>
      </c>
      <c r="I13" s="35">
        <f t="shared" si="8"/>
        <v>201.45291568975517</v>
      </c>
      <c r="J13" s="35">
        <f t="shared" si="8"/>
        <v>201.45291568975517</v>
      </c>
      <c r="K13" s="35">
        <f t="shared" si="8"/>
        <v>201.45291568975517</v>
      </c>
      <c r="L13" s="35">
        <f t="shared" si="8"/>
        <v>201.45291568975517</v>
      </c>
      <c r="M13" s="35">
        <f t="shared" si="8"/>
        <v>805.81166275902069</v>
      </c>
      <c r="N13" s="35">
        <f t="shared" si="8"/>
        <v>689.90464405773855</v>
      </c>
      <c r="O13" s="35">
        <f t="shared" si="8"/>
        <v>283.3872881591542</v>
      </c>
      <c r="P13" s="35">
        <f t="shared" si="8"/>
        <v>283.3872881591542</v>
      </c>
      <c r="Q13" s="35">
        <f t="shared" si="8"/>
        <v>283.3872881591542</v>
      </c>
    </row>
    <row r="14" spans="1:32" s="14" customFormat="1" x14ac:dyDescent="0.25">
      <c r="B14" s="14" t="s">
        <v>7</v>
      </c>
      <c r="D14" s="35">
        <f>Debt!D41</f>
        <v>5909.0530000000008</v>
      </c>
      <c r="E14" s="35">
        <f>Debt!E41</f>
        <v>4664.7150000000001</v>
      </c>
      <c r="F14" s="35">
        <f>Debt!F41</f>
        <v>1842.751</v>
      </c>
      <c r="G14" s="35">
        <f>Debt!G41</f>
        <v>330.37200000000001</v>
      </c>
      <c r="H14" s="35">
        <f>Debt!H41</f>
        <v>117.42247500000002</v>
      </c>
      <c r="I14" s="35">
        <f>Debt!I41</f>
        <v>118.62895000000002</v>
      </c>
      <c r="J14" s="35">
        <f>Debt!J41</f>
        <v>118.62895000000002</v>
      </c>
      <c r="K14" s="35">
        <f>Debt!K41</f>
        <v>118.62895000000002</v>
      </c>
      <c r="L14" s="35">
        <f>Debt!L41</f>
        <v>118.62895000000002</v>
      </c>
      <c r="M14" s="35">
        <f>Debt!M41</f>
        <v>118.62895000000002</v>
      </c>
      <c r="N14" s="35">
        <f>Debt!N41</f>
        <v>118.62895000000002</v>
      </c>
      <c r="O14" s="35">
        <f>Debt!O41</f>
        <v>118.62895000000002</v>
      </c>
      <c r="P14" s="35">
        <f>Debt!P41</f>
        <v>0</v>
      </c>
      <c r="Q14" s="35">
        <f>Debt!Q41</f>
        <v>0</v>
      </c>
    </row>
    <row r="15" spans="1:32" s="14" customFormat="1" x14ac:dyDescent="0.25">
      <c r="A15" s="14" t="s">
        <v>9</v>
      </c>
      <c r="D15" s="35">
        <f>D13-D14</f>
        <v>-6254.9640000000018</v>
      </c>
      <c r="E15" s="35">
        <f t="shared" ref="E15:Q15" si="9">E13-E14</f>
        <v>-1257.6310000000003</v>
      </c>
      <c r="F15" s="35">
        <f t="shared" si="9"/>
        <v>662.38700000000085</v>
      </c>
      <c r="G15" s="35">
        <f t="shared" si="9"/>
        <v>7.666999999999291</v>
      </c>
      <c r="H15" s="35">
        <f t="shared" si="9"/>
        <v>-485.98247499999951</v>
      </c>
      <c r="I15" s="35">
        <f t="shared" si="9"/>
        <v>82.823965689755155</v>
      </c>
      <c r="J15" s="35">
        <f t="shared" si="9"/>
        <v>82.823965689755155</v>
      </c>
      <c r="K15" s="35">
        <f t="shared" si="9"/>
        <v>82.823965689755155</v>
      </c>
      <c r="L15" s="35">
        <f t="shared" si="9"/>
        <v>82.823965689755155</v>
      </c>
      <c r="M15" s="35">
        <f t="shared" si="9"/>
        <v>687.18271275902066</v>
      </c>
      <c r="N15" s="35">
        <f t="shared" si="9"/>
        <v>571.27569405773852</v>
      </c>
      <c r="O15" s="35">
        <f t="shared" si="9"/>
        <v>164.75833815915416</v>
      </c>
      <c r="P15" s="35">
        <f t="shared" si="9"/>
        <v>283.3872881591542</v>
      </c>
      <c r="Q15" s="35">
        <f t="shared" si="9"/>
        <v>283.3872881591542</v>
      </c>
    </row>
    <row r="16" spans="1:32" s="14" customFormat="1" x14ac:dyDescent="0.25">
      <c r="B16" s="14" t="s">
        <v>10</v>
      </c>
      <c r="D16" s="39">
        <v>0</v>
      </c>
      <c r="E16" s="39">
        <v>-2500.9319999999998</v>
      </c>
      <c r="F16" s="39">
        <v>-312.03399999999999</v>
      </c>
      <c r="G16" s="39">
        <v>463.34800000000001</v>
      </c>
      <c r="H16" s="39">
        <v>461.988</v>
      </c>
      <c r="I16" s="247">
        <f t="shared" ref="I16:L16" si="10">I15*$D$28</f>
        <v>14.908313824155927</v>
      </c>
      <c r="J16" s="247">
        <f t="shared" si="10"/>
        <v>14.908313824155927</v>
      </c>
      <c r="K16" s="247">
        <f t="shared" si="10"/>
        <v>14.908313824155927</v>
      </c>
      <c r="L16" s="247">
        <f t="shared" si="10"/>
        <v>14.908313824155927</v>
      </c>
      <c r="M16" s="247">
        <f>M15*$D$28</f>
        <v>123.69288829662372</v>
      </c>
      <c r="N16" s="128">
        <f>N15*$D$28</f>
        <v>102.82962493039292</v>
      </c>
      <c r="O16" s="128">
        <f>O15*$D$28</f>
        <v>29.656500868647747</v>
      </c>
      <c r="P16" s="128">
        <f>P15*$D$28</f>
        <v>51.009711868647756</v>
      </c>
      <c r="Q16" s="128">
        <f>Q15*$D$28</f>
        <v>51.009711868647756</v>
      </c>
    </row>
    <row r="17" spans="1:27" s="14" customFormat="1" x14ac:dyDescent="0.25">
      <c r="A17" s="14" t="s">
        <v>11</v>
      </c>
      <c r="D17" s="35">
        <f t="shared" ref="D17:Q17" si="11">D15-D16</f>
        <v>-6254.9640000000018</v>
      </c>
      <c r="E17" s="35">
        <f t="shared" si="11"/>
        <v>1243.3009999999995</v>
      </c>
      <c r="F17" s="35">
        <f t="shared" si="11"/>
        <v>974.42100000000084</v>
      </c>
      <c r="G17" s="35">
        <f t="shared" si="11"/>
        <v>-455.68100000000072</v>
      </c>
      <c r="H17" s="35">
        <f t="shared" si="11"/>
        <v>-947.97047499999951</v>
      </c>
      <c r="I17" s="35">
        <f t="shared" si="11"/>
        <v>67.91565186559923</v>
      </c>
      <c r="J17" s="35">
        <f t="shared" si="11"/>
        <v>67.91565186559923</v>
      </c>
      <c r="K17" s="35">
        <f t="shared" si="11"/>
        <v>67.91565186559923</v>
      </c>
      <c r="L17" s="35">
        <f t="shared" si="11"/>
        <v>67.91565186559923</v>
      </c>
      <c r="M17" s="35">
        <f t="shared" si="11"/>
        <v>563.48982446239688</v>
      </c>
      <c r="N17" s="35">
        <f t="shared" si="11"/>
        <v>468.4460691273456</v>
      </c>
      <c r="O17" s="35">
        <f t="shared" si="11"/>
        <v>135.10183729050641</v>
      </c>
      <c r="P17" s="35">
        <f t="shared" si="11"/>
        <v>232.37757629050645</v>
      </c>
      <c r="Q17" s="35">
        <f t="shared" si="11"/>
        <v>232.37757629050645</v>
      </c>
    </row>
    <row r="18" spans="1:27" s="14" customFormat="1" x14ac:dyDescent="0.25">
      <c r="B18" s="14" t="s">
        <v>12</v>
      </c>
      <c r="D18" s="39"/>
      <c r="E18" s="39"/>
      <c r="F18" s="39"/>
      <c r="G18" s="39"/>
      <c r="H18" s="39"/>
      <c r="I18" s="39">
        <f t="shared" ref="I18:L18" si="12">$M18/4</f>
        <v>0</v>
      </c>
      <c r="J18" s="39">
        <f t="shared" si="12"/>
        <v>0</v>
      </c>
      <c r="K18" s="39">
        <f t="shared" si="12"/>
        <v>0</v>
      </c>
      <c r="L18" s="39">
        <f t="shared" si="12"/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</row>
    <row r="19" spans="1:27" s="14" customFormat="1" x14ac:dyDescent="0.25">
      <c r="A19" s="14" t="s">
        <v>627</v>
      </c>
      <c r="D19" s="35">
        <f t="shared" ref="D19:Q19" si="13">D17+D18</f>
        <v>-6254.9640000000018</v>
      </c>
      <c r="E19" s="35">
        <f t="shared" si="13"/>
        <v>1243.3009999999995</v>
      </c>
      <c r="F19" s="35">
        <f t="shared" si="13"/>
        <v>974.42100000000084</v>
      </c>
      <c r="G19" s="35">
        <f t="shared" si="13"/>
        <v>-455.68100000000072</v>
      </c>
      <c r="H19" s="35">
        <f t="shared" si="13"/>
        <v>-947.97047499999951</v>
      </c>
      <c r="I19" s="35">
        <f t="shared" si="13"/>
        <v>67.91565186559923</v>
      </c>
      <c r="J19" s="35">
        <f t="shared" si="13"/>
        <v>67.91565186559923</v>
      </c>
      <c r="K19" s="35">
        <f t="shared" si="13"/>
        <v>67.91565186559923</v>
      </c>
      <c r="L19" s="35">
        <f t="shared" si="13"/>
        <v>67.91565186559923</v>
      </c>
      <c r="M19" s="35">
        <f t="shared" si="13"/>
        <v>563.48982446239688</v>
      </c>
      <c r="N19" s="35">
        <f t="shared" si="13"/>
        <v>468.4460691273456</v>
      </c>
      <c r="O19" s="35">
        <f t="shared" si="13"/>
        <v>135.10183729050641</v>
      </c>
      <c r="P19" s="35">
        <f t="shared" si="13"/>
        <v>232.37757629050645</v>
      </c>
      <c r="Q19" s="35">
        <f t="shared" si="13"/>
        <v>232.37757629050645</v>
      </c>
    </row>
    <row r="20" spans="1:27" s="14" customFormat="1" x14ac:dyDescent="0.25">
      <c r="B20" s="14" t="s">
        <v>14</v>
      </c>
      <c r="D20" s="39"/>
      <c r="E20" s="39"/>
      <c r="F20" s="39"/>
      <c r="G20" s="39"/>
      <c r="H20" s="39"/>
      <c r="I20" s="39">
        <f t="shared" ref="I20:L20" si="14">$M20/4</f>
        <v>0</v>
      </c>
      <c r="J20" s="39">
        <f t="shared" si="14"/>
        <v>0</v>
      </c>
      <c r="K20" s="39">
        <f t="shared" si="14"/>
        <v>0</v>
      </c>
      <c r="L20" s="39">
        <f t="shared" si="14"/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</row>
    <row r="21" spans="1:27" s="14" customFormat="1" x14ac:dyDescent="0.25">
      <c r="A21" s="14" t="s">
        <v>13</v>
      </c>
      <c r="D21" s="35">
        <f t="shared" ref="D21:Q21" si="15">D19+D20</f>
        <v>-6254.9640000000018</v>
      </c>
      <c r="E21" s="35">
        <f t="shared" si="15"/>
        <v>1243.3009999999995</v>
      </c>
      <c r="F21" s="35">
        <f t="shared" si="15"/>
        <v>974.42100000000084</v>
      </c>
      <c r="G21" s="35">
        <f t="shared" si="15"/>
        <v>-455.68100000000072</v>
      </c>
      <c r="H21" s="35">
        <f t="shared" si="15"/>
        <v>-947.97047499999951</v>
      </c>
      <c r="I21" s="35">
        <f t="shared" si="15"/>
        <v>67.91565186559923</v>
      </c>
      <c r="J21" s="35">
        <f t="shared" si="15"/>
        <v>67.91565186559923</v>
      </c>
      <c r="K21" s="35">
        <f t="shared" si="15"/>
        <v>67.91565186559923</v>
      </c>
      <c r="L21" s="35">
        <f t="shared" si="15"/>
        <v>67.91565186559923</v>
      </c>
      <c r="M21" s="35">
        <f t="shared" si="15"/>
        <v>563.48982446239688</v>
      </c>
      <c r="N21" s="35">
        <f t="shared" si="15"/>
        <v>468.4460691273456</v>
      </c>
      <c r="O21" s="35">
        <f t="shared" si="15"/>
        <v>135.10183729050641</v>
      </c>
      <c r="P21" s="35">
        <f t="shared" si="15"/>
        <v>232.37757629050645</v>
      </c>
      <c r="Q21" s="35">
        <f t="shared" si="15"/>
        <v>232.37757629050645</v>
      </c>
    </row>
    <row r="22" spans="1:27" s="14" customFormat="1" x14ac:dyDescent="0.25">
      <c r="A22" s="14" t="s">
        <v>18</v>
      </c>
      <c r="D22" s="35">
        <f t="shared" ref="D22:Q22" si="16">D13-D16</f>
        <v>-345.91100000000051</v>
      </c>
      <c r="E22" s="35">
        <f t="shared" si="16"/>
        <v>5908.0159999999996</v>
      </c>
      <c r="F22" s="35">
        <f t="shared" si="16"/>
        <v>2817.1720000000009</v>
      </c>
      <c r="G22" s="35">
        <f t="shared" si="16"/>
        <v>-125.30900000000071</v>
      </c>
      <c r="H22" s="35">
        <f t="shared" si="16"/>
        <v>-830.54799999999955</v>
      </c>
      <c r="I22" s="35">
        <f t="shared" si="16"/>
        <v>186.54460186559925</v>
      </c>
      <c r="J22" s="35">
        <f t="shared" si="16"/>
        <v>186.54460186559925</v>
      </c>
      <c r="K22" s="35">
        <f t="shared" si="16"/>
        <v>186.54460186559925</v>
      </c>
      <c r="L22" s="35">
        <f t="shared" si="16"/>
        <v>186.54460186559925</v>
      </c>
      <c r="M22" s="35">
        <f t="shared" si="16"/>
        <v>682.11877446239691</v>
      </c>
      <c r="N22" s="35">
        <f t="shared" si="16"/>
        <v>587.07501912734563</v>
      </c>
      <c r="O22" s="35">
        <f t="shared" si="16"/>
        <v>253.73078729050644</v>
      </c>
      <c r="P22" s="35">
        <f t="shared" si="16"/>
        <v>232.37757629050645</v>
      </c>
      <c r="Q22" s="35">
        <f t="shared" si="16"/>
        <v>232.37757629050645</v>
      </c>
    </row>
    <row r="23" spans="1:27" s="14" customFormat="1" x14ac:dyDescent="0.25">
      <c r="B23" s="14" t="s">
        <v>19</v>
      </c>
      <c r="D23" s="35">
        <f>SUM(Biz2cf!D27:D28)</f>
        <v>-4393</v>
      </c>
      <c r="E23" s="35">
        <f>SUM(Biz2cf!E27:E28)</f>
        <v>-1080</v>
      </c>
      <c r="F23" s="35">
        <f>SUM(Biz2cf!F27:F28)</f>
        <v>-1012</v>
      </c>
      <c r="G23" s="35">
        <f>SUM(Biz2cf!G27:G28)</f>
        <v>-1805.5</v>
      </c>
      <c r="H23" s="35">
        <f>SUM(Biz2cf!H27:H28)</f>
        <v>-1456</v>
      </c>
      <c r="I23" s="35">
        <f>SUM(Biz2cf!I27:I28)</f>
        <v>-500</v>
      </c>
      <c r="J23" s="35">
        <f>SUM(Biz2cf!J27:J28)</f>
        <v>-500</v>
      </c>
      <c r="K23" s="35">
        <f>SUM(Biz2cf!K27:K28)</f>
        <v>-500</v>
      </c>
      <c r="L23" s="35">
        <f>SUM(Biz2cf!L27:L28)</f>
        <v>-500</v>
      </c>
      <c r="M23" s="35">
        <f>-Biz2drivers!D26</f>
        <v>-2000</v>
      </c>
      <c r="N23" s="35">
        <f>-Biz2drivers!E26</f>
        <v>-2500</v>
      </c>
      <c r="O23" s="35">
        <f>-Biz2drivers!F26</f>
        <v>-2500</v>
      </c>
      <c r="P23" s="35">
        <f>-Biz2drivers!G26</f>
        <v>-2500</v>
      </c>
      <c r="Q23" s="35">
        <f>-Biz2drivers!H26</f>
        <v>-2500</v>
      </c>
    </row>
    <row r="24" spans="1:27" s="14" customFormat="1" x14ac:dyDescent="0.25">
      <c r="B24" s="14" t="s">
        <v>20</v>
      </c>
      <c r="D24" s="35">
        <f>SUM(Biz2cf!D12:D18)</f>
        <v>0</v>
      </c>
      <c r="E24" s="35">
        <f>SUM(Biz2cf!E12:E18)</f>
        <v>3430.9313342246969</v>
      </c>
      <c r="F24" s="35">
        <f>SUM(Biz2cf!F12:F18)</f>
        <v>-1631.0740395764055</v>
      </c>
      <c r="G24" s="35">
        <f>SUM(Biz2cf!G12:G18)</f>
        <v>-2261.2593537996299</v>
      </c>
      <c r="H24" s="35">
        <f>SUM(Biz2cf!H12:H18)</f>
        <v>2590.8450839991337</v>
      </c>
      <c r="I24" s="35">
        <f>SUM(Biz2cf!I12:I18)</f>
        <v>0</v>
      </c>
      <c r="J24" s="35">
        <f>SUM(Biz2cf!J12:J18)</f>
        <v>0</v>
      </c>
      <c r="K24" s="35">
        <f>SUM(Biz2cf!K12:K18)</f>
        <v>0</v>
      </c>
      <c r="L24" s="35">
        <f>SUM(Biz2cf!L12:L18)</f>
        <v>0</v>
      </c>
      <c r="M24" s="35">
        <f>SUM(Biz2cf!M12:M18)</f>
        <v>-4956.8137970430671</v>
      </c>
      <c r="N24" s="35">
        <f>SUM(Biz2cf!N12:N18)</f>
        <v>1722.2653024789502</v>
      </c>
      <c r="O24" s="35">
        <f>SUM(Biz2cf!O12:O18)</f>
        <v>146.60475168618268</v>
      </c>
      <c r="P24" s="35">
        <f>SUM(Biz2cf!P12:P18)</f>
        <v>325.43122679404041</v>
      </c>
      <c r="Q24" s="35">
        <f>SUM(Biz2cf!Q12:Q18)</f>
        <v>-338.26991501478187</v>
      </c>
    </row>
    <row r="25" spans="1:27" s="14" customFormat="1" x14ac:dyDescent="0.25">
      <c r="A25" s="14" t="s">
        <v>21</v>
      </c>
      <c r="D25" s="210">
        <f>D22+D12+D23+D24</f>
        <v>-1907.0110000000004</v>
      </c>
      <c r="E25" s="210">
        <f>E22+E12+E23+E24</f>
        <v>10173.415334224697</v>
      </c>
      <c r="F25" s="210">
        <f>F22+F12+F23+F24</f>
        <v>2083.3999604235955</v>
      </c>
      <c r="G25" s="210">
        <f>G22+G12+G23+G24</f>
        <v>-2609.3073537996306</v>
      </c>
      <c r="H25" s="210">
        <f>H22+H12+H23+H24</f>
        <v>2102.297083999134</v>
      </c>
      <c r="I25" s="226"/>
      <c r="J25" s="226"/>
      <c r="K25" s="226"/>
      <c r="L25" s="226"/>
      <c r="M25" s="210">
        <f>M22+M12+M23+M24</f>
        <v>-4274.6950225806704</v>
      </c>
      <c r="N25" s="210">
        <f>N22+N12+N23+N24</f>
        <v>1809.3403216062957</v>
      </c>
      <c r="O25" s="210">
        <f>O22+O12+O23+O24</f>
        <v>150.33553897668935</v>
      </c>
      <c r="P25" s="210">
        <f>IF(P5=0,O25*(1+$D30),P22+P12+P23+P24)</f>
        <v>307.80880308454698</v>
      </c>
      <c r="Q25" s="210">
        <f>IF(Q5=0,P25*(1+$D30),Q22+Q12+Q23+Q24)</f>
        <v>-355.89233872427531</v>
      </c>
      <c r="R25" s="406">
        <f t="shared" ref="R25:AA25" ca="1" si="17">IF(R$4&gt;0,Q25*(1+$D30),"")</f>
        <v>-366.56910888600356</v>
      </c>
      <c r="S25" s="406">
        <f t="shared" ca="1" si="17"/>
        <v>-377.56618215258368</v>
      </c>
      <c r="T25" s="406">
        <f t="shared" ca="1" si="17"/>
        <v>-388.89316761716123</v>
      </c>
      <c r="U25" s="406">
        <f t="shared" ca="1" si="17"/>
        <v>-400.55996264567608</v>
      </c>
      <c r="V25" s="406">
        <f t="shared" ca="1" si="17"/>
        <v>-412.57676152504638</v>
      </c>
      <c r="W25" s="406">
        <f t="shared" ca="1" si="17"/>
        <v>-424.95406437079777</v>
      </c>
      <c r="X25" s="406">
        <f t="shared" ca="1" si="17"/>
        <v>-437.70268630192169</v>
      </c>
      <c r="Y25" s="406">
        <f t="shared" ca="1" si="17"/>
        <v>-450.83376689097935</v>
      </c>
      <c r="Z25" s="406">
        <f t="shared" ca="1" si="17"/>
        <v>-464.35877989770876</v>
      </c>
      <c r="AA25" s="406">
        <f t="shared" ca="1" si="17"/>
        <v>-478.28954329464005</v>
      </c>
    </row>
    <row r="26" spans="1:27" s="14" customFormat="1" x14ac:dyDescent="0.25">
      <c r="A26" s="14" t="s">
        <v>426</v>
      </c>
      <c r="D26" s="210"/>
      <c r="E26" s="210"/>
      <c r="F26" s="210"/>
      <c r="G26" s="210"/>
      <c r="H26" s="406">
        <f t="shared" ref="H26:AA26" ca="1" si="18">IF(ISERROR(H25/(1+$D32)^H$4),"",H25/(1+$D32)^H$4)</f>
        <v>3364.336301757281</v>
      </c>
      <c r="I26" s="405">
        <f t="shared" ca="1" si="18"/>
        <v>0</v>
      </c>
      <c r="J26" s="405">
        <f t="shared" ca="1" si="18"/>
        <v>0</v>
      </c>
      <c r="K26" s="405">
        <f t="shared" ca="1" si="18"/>
        <v>0</v>
      </c>
      <c r="L26" s="405">
        <f t="shared" ca="1" si="18"/>
        <v>0</v>
      </c>
      <c r="M26" s="406">
        <f t="shared" ca="1" si="18"/>
        <v>-6047.6664540483607</v>
      </c>
      <c r="N26" s="406">
        <f t="shared" ca="1" si="18"/>
        <v>2262.2140779379642</v>
      </c>
      <c r="O26" s="406">
        <f t="shared" ca="1" si="18"/>
        <v>166.16994620425635</v>
      </c>
      <c r="P26" s="406">
        <f t="shared" ca="1" si="18"/>
        <v>300.78019582599308</v>
      </c>
      <c r="Q26" s="406">
        <f t="shared" ca="1" si="18"/>
        <v>-307.44272580233064</v>
      </c>
      <c r="R26" s="406">
        <f t="shared" ca="1" si="18"/>
        <v>-279.94894033059762</v>
      </c>
      <c r="S26" s="406">
        <f t="shared" ca="1" si="18"/>
        <v>-254.91385098703935</v>
      </c>
      <c r="T26" s="406">
        <f t="shared" ca="1" si="18"/>
        <v>-232.11758311463868</v>
      </c>
      <c r="U26" s="406">
        <f t="shared" ca="1" si="18"/>
        <v>-211.35992486230398</v>
      </c>
      <c r="V26" s="406">
        <f t="shared" ca="1" si="18"/>
        <v>-192.45856879241924</v>
      </c>
      <c r="W26" s="406">
        <f t="shared" ca="1" si="18"/>
        <v>-175.24751073675515</v>
      </c>
      <c r="X26" s="406">
        <f t="shared" ca="1" si="18"/>
        <v>-159.57559183843833</v>
      </c>
      <c r="Y26" s="406">
        <f t="shared" ca="1" si="18"/>
        <v>-145.30517097523122</v>
      </c>
      <c r="Z26" s="406">
        <f t="shared" ca="1" si="18"/>
        <v>-132.31091590446704</v>
      </c>
      <c r="AA26" s="406">
        <f t="shared" ca="1" si="18"/>
        <v>-120.4787025126798</v>
      </c>
    </row>
    <row r="27" spans="1:27" s="14" customFormat="1" x14ac:dyDescent="0.25"/>
    <row r="28" spans="1:27" s="14" customFormat="1" x14ac:dyDescent="0.25">
      <c r="A28" s="14" t="s">
        <v>206</v>
      </c>
      <c r="D28" s="371">
        <v>0.18</v>
      </c>
      <c r="E28" s="374" t="s">
        <v>430</v>
      </c>
    </row>
    <row r="29" spans="1:27" s="14" customFormat="1" x14ac:dyDescent="0.25">
      <c r="A29" s="14" t="s">
        <v>429</v>
      </c>
      <c r="D29" s="372">
        <v>10</v>
      </c>
      <c r="E29" s="375">
        <f ca="1">MAX(4:4)</f>
        <v>11.187431008371382</v>
      </c>
    </row>
    <row r="30" spans="1:27" s="14" customFormat="1" x14ac:dyDescent="0.25">
      <c r="A30" s="14" t="s">
        <v>428</v>
      </c>
      <c r="D30" s="373">
        <v>0.03</v>
      </c>
      <c r="E30" s="377">
        <f ca="1">(LOOKUP(1000000,25:25)/(D32-D31))   /    (1+D32)^MAX(4:4)</f>
        <v>-994.40724386193483</v>
      </c>
    </row>
    <row r="31" spans="1:27" s="31" customFormat="1" x14ac:dyDescent="0.25">
      <c r="A31" s="32" t="s">
        <v>427</v>
      </c>
      <c r="B31" s="29"/>
      <c r="C31" s="14"/>
      <c r="D31" s="373">
        <v>0.01</v>
      </c>
      <c r="E31" s="376" t="s">
        <v>431</v>
      </c>
      <c r="F31" s="14"/>
      <c r="G31" s="14"/>
      <c r="H31" s="14"/>
      <c r="I31" s="14"/>
      <c r="J31" s="14"/>
      <c r="K31" s="14"/>
      <c r="L31" s="14"/>
      <c r="R31" s="14"/>
    </row>
    <row r="32" spans="1:27" s="31" customFormat="1" ht="15.75" thickBot="1" x14ac:dyDescent="0.3">
      <c r="A32" s="14" t="s">
        <v>22</v>
      </c>
      <c r="C32" s="14"/>
      <c r="D32" s="33">
        <f>Presentation!BA21</f>
        <v>0.13115630015403151</v>
      </c>
      <c r="E32" s="14"/>
      <c r="F32" s="14"/>
      <c r="G32" s="14"/>
      <c r="H32" s="14"/>
      <c r="I32" s="14"/>
      <c r="J32" s="14"/>
      <c r="K32" s="14"/>
      <c r="L32" s="14"/>
      <c r="R32" s="14"/>
    </row>
    <row r="33" spans="1:18" ht="15.75" thickBot="1" x14ac:dyDescent="0.3">
      <c r="A33" s="14" t="s">
        <v>23</v>
      </c>
      <c r="D33" s="436">
        <f ca="1">SUM(26:26)+E30</f>
        <v>-3159.7326620417025</v>
      </c>
      <c r="E33" s="435">
        <f>Presentation!BP6*1000</f>
        <v>10572.38808822713</v>
      </c>
      <c r="F33" s="513">
        <f ca="1">E33/D33-1</f>
        <v>-4.3459755045845059</v>
      </c>
      <c r="H33"/>
    </row>
    <row r="34" spans="1:18" x14ac:dyDescent="0.25">
      <c r="D34" s="434" t="s">
        <v>447</v>
      </c>
      <c r="E34" s="434" t="s">
        <v>492</v>
      </c>
      <c r="F34" s="30" t="s">
        <v>515</v>
      </c>
      <c r="H34"/>
    </row>
    <row r="35" spans="1:18" x14ac:dyDescent="0.25">
      <c r="E35" s="434"/>
      <c r="H35"/>
    </row>
    <row r="36" spans="1:18" s="44" customFormat="1" x14ac:dyDescent="0.25">
      <c r="A36" s="44" t="s">
        <v>24</v>
      </c>
      <c r="D36" s="142">
        <v>1486</v>
      </c>
      <c r="E36" s="142">
        <v>1135</v>
      </c>
      <c r="F36" s="142">
        <v>580</v>
      </c>
      <c r="G36" s="142">
        <v>740</v>
      </c>
      <c r="H36" s="142">
        <v>1100</v>
      </c>
      <c r="I36" s="426">
        <f>M36/4</f>
        <v>300</v>
      </c>
      <c r="J36" s="426">
        <f>M36/4</f>
        <v>300</v>
      </c>
      <c r="K36" s="426">
        <f>M36/4</f>
        <v>300</v>
      </c>
      <c r="L36" s="426">
        <f>M36/4</f>
        <v>300</v>
      </c>
      <c r="M36" s="426">
        <f>Biz2drivers!D9</f>
        <v>1200</v>
      </c>
      <c r="N36" s="426">
        <f>Biz2drivers!E9</f>
        <v>1200</v>
      </c>
      <c r="O36" s="426">
        <f>Biz2drivers!F9</f>
        <v>1200</v>
      </c>
      <c r="P36" s="426">
        <f>Biz2drivers!G9</f>
        <v>1200</v>
      </c>
      <c r="Q36" s="426">
        <f>Biz2drivers!H9</f>
        <v>1200</v>
      </c>
      <c r="R36"/>
    </row>
  </sheetData>
  <sheetProtection algorithmName="SHA-512" hashValue="U4VIVVb1sXk7RFzRIyqSKJidT9yipDndAUQQ3iLiTgbsNLx2MMMmBP+YQx3uaI8XYRTnBXoEzNUO0QplkSLh+A==" saltValue="owOQKeD2mYvXE9yU1bDhwA==" spinCount="100000" sheet="1" objects="1" scenarios="1"/>
  <dataValidations disablePrompts="1" count="1">
    <dataValidation type="whole" allowBlank="1" showInputMessage="1" showErrorMessage="1" errorTitle="Years in Terminal Growth Stage 1" error="Input value between 1 and 10" promptTitle="Years in Terminal Stage1 (1-10)" sqref="D29" xr:uid="{00000000-0002-0000-0D00-000000000000}">
      <formula1>1</formula1>
      <formula2>10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</sheetPr>
  <dimension ref="A1:R49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6.140625" customWidth="1"/>
    <col min="2" max="2" width="31.28515625" customWidth="1"/>
    <col min="3" max="3" width="2.85546875" style="89" customWidth="1"/>
    <col min="4" max="7" width="9.85546875" bestFit="1" customWidth="1"/>
    <col min="8" max="8" width="9.85546875" style="36" bestFit="1" customWidth="1"/>
    <col min="9" max="12" width="8.42578125" bestFit="1" customWidth="1"/>
    <col min="13" max="17" width="9.85546875" style="36" bestFit="1" customWidth="1"/>
    <col min="18" max="18" width="3.7109375" customWidth="1"/>
  </cols>
  <sheetData>
    <row r="1" spans="1:18" x14ac:dyDescent="0.25">
      <c r="A1" s="43" t="s">
        <v>565</v>
      </c>
      <c r="H1"/>
      <c r="M1"/>
      <c r="N1"/>
      <c r="O1"/>
      <c r="P1"/>
      <c r="Q1"/>
    </row>
    <row r="2" spans="1:18" ht="15.75" thickBot="1" x14ac:dyDescent="0.3">
      <c r="A2" s="43" t="s">
        <v>25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</row>
    <row r="3" spans="1:18" ht="15.75" thickBot="1" x14ac:dyDescent="0.3">
      <c r="C3" s="90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4" spans="1:18" s="37" customFormat="1" x14ac:dyDescent="0.25">
      <c r="A4" s="1" t="s">
        <v>26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/>
    </row>
    <row r="5" spans="1:18" s="37" customFormat="1" x14ac:dyDescent="0.25">
      <c r="B5" s="37" t="s">
        <v>27</v>
      </c>
      <c r="C5" s="91"/>
      <c r="D5" s="545">
        <v>0</v>
      </c>
      <c r="E5" s="545">
        <v>7423.0043342246972</v>
      </c>
      <c r="F5" s="545">
        <v>12202.534294648296</v>
      </c>
      <c r="G5" s="545">
        <v>6824.036940848664</v>
      </c>
      <c r="H5" s="545">
        <v>13133.9115498478</v>
      </c>
      <c r="I5" s="545">
        <v>13611.8272017134</v>
      </c>
      <c r="J5" s="545">
        <v>14089.742853579</v>
      </c>
      <c r="K5" s="545">
        <v>14567.6585054446</v>
      </c>
      <c r="L5" s="545">
        <v>15045.5741573102</v>
      </c>
      <c r="M5" s="545">
        <v>11157.250184729532</v>
      </c>
      <c r="N5" s="545">
        <v>14487.961556335824</v>
      </c>
      <c r="O5" s="545">
        <v>16364.668145312513</v>
      </c>
      <c r="P5" s="545">
        <v>18517.476948397056</v>
      </c>
      <c r="Q5" s="545">
        <v>20006.58460967278</v>
      </c>
      <c r="R5" s="548" t="s">
        <v>519</v>
      </c>
    </row>
    <row r="6" spans="1:18" s="37" customFormat="1" x14ac:dyDescent="0.25">
      <c r="B6" s="37" t="s">
        <v>28</v>
      </c>
      <c r="C6" s="91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549"/>
    </row>
    <row r="7" spans="1:18" s="37" customFormat="1" x14ac:dyDescent="0.25">
      <c r="B7" s="97" t="s">
        <v>98</v>
      </c>
      <c r="C7" s="91"/>
      <c r="D7" s="96">
        <f>D47*Biz2pl!D5/365</f>
        <v>20999.172164314969</v>
      </c>
      <c r="E7" s="96">
        <f>E47*Biz2pl!E5/365</f>
        <v>10915.199724461268</v>
      </c>
      <c r="F7" s="96">
        <f>F47*Biz2pl!F5/365</f>
        <v>6241.3205535498228</v>
      </c>
      <c r="G7" s="96">
        <f>G47*Biz2pl!G5/365</f>
        <v>5686.9949378901865</v>
      </c>
      <c r="H7" s="96">
        <f>H47*Biz2pl!H5/365</f>
        <v>7168.9259968854421</v>
      </c>
      <c r="I7" s="96">
        <f>I47*Biz2pl!I5/365</f>
        <v>7168.9259968854412</v>
      </c>
      <c r="J7" s="96">
        <f>J47*Biz2pl!J5/365</f>
        <v>7168.9259968854412</v>
      </c>
      <c r="K7" s="96">
        <f>K47*Biz2pl!K5/365</f>
        <v>7168.9259968854412</v>
      </c>
      <c r="L7" s="96">
        <f>L47*Biz2pl!L5/365</f>
        <v>7168.9259968854412</v>
      </c>
      <c r="M7" s="96">
        <f>M47*Biz2pl!M5/365</f>
        <v>10253.732148212017</v>
      </c>
      <c r="N7" s="96">
        <f>N47*Biz2pl!N5/365</f>
        <v>10518.40923078358</v>
      </c>
      <c r="O7" s="96">
        <f>O47*Biz2pl!O5/365</f>
        <v>10778.881911400425</v>
      </c>
      <c r="P7" s="96">
        <f>P47*Biz2pl!P5/365</f>
        <v>10778.881911400425</v>
      </c>
      <c r="Q7" s="96">
        <f>Q47*Biz2pl!Q5/365</f>
        <v>10778.881911400425</v>
      </c>
      <c r="R7" s="549"/>
    </row>
    <row r="8" spans="1:18" s="37" customFormat="1" x14ac:dyDescent="0.25">
      <c r="B8" s="97" t="s">
        <v>29</v>
      </c>
      <c r="C8" s="91"/>
      <c r="D8" s="96">
        <f>Biz2pl!D6/D46</f>
        <v>32271.502342527929</v>
      </c>
      <c r="E8" s="96">
        <f>Biz2pl!E6/E46</f>
        <v>13925.140429251993</v>
      </c>
      <c r="F8" s="96">
        <f>Biz2pl!F6/F46</f>
        <v>12883.164277678914</v>
      </c>
      <c r="G8" s="96">
        <f>Biz2pl!G6/G46</f>
        <v>13790.534379206323</v>
      </c>
      <c r="H8" s="96">
        <f>Biz2pl!H6/H46</f>
        <v>14908.900077951626</v>
      </c>
      <c r="I8" s="96">
        <f>Biz2pl!I6/I46</f>
        <v>14908.900077951626</v>
      </c>
      <c r="J8" s="96">
        <f>Biz2pl!J6/J46</f>
        <v>14908.900077951626</v>
      </c>
      <c r="K8" s="96">
        <f>Biz2pl!K6/K46</f>
        <v>14908.900077951626</v>
      </c>
      <c r="L8" s="96">
        <f>Biz2pl!L6/L46</f>
        <v>14908.900077951626</v>
      </c>
      <c r="M8" s="96">
        <f>Biz2pl!M6/M46</f>
        <v>19460.131321560344</v>
      </c>
      <c r="N8" s="96">
        <f>Biz2pl!N6/N46</f>
        <v>18537.010578367473</v>
      </c>
      <c r="O8" s="96">
        <f>Biz2pl!O6/O46</f>
        <v>18997.78898089537</v>
      </c>
      <c r="P8" s="96">
        <f>Biz2pl!P6/P46</f>
        <v>18997.78898089537</v>
      </c>
      <c r="Q8" s="96">
        <f>Biz2pl!Q6/Q46</f>
        <v>18997.78898089537</v>
      </c>
      <c r="R8" s="549"/>
    </row>
    <row r="9" spans="1:18" s="37" customFormat="1" x14ac:dyDescent="0.25">
      <c r="B9" s="97" t="s">
        <v>30</v>
      </c>
      <c r="C9" s="91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549"/>
    </row>
    <row r="10" spans="1:18" s="37" customFormat="1" x14ac:dyDescent="0.25">
      <c r="B10" s="97" t="s">
        <v>31</v>
      </c>
      <c r="C10" s="91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549"/>
    </row>
    <row r="11" spans="1:18" s="37" customFormat="1" x14ac:dyDescent="0.25">
      <c r="B11" s="97" t="s">
        <v>32</v>
      </c>
      <c r="C11" s="91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549"/>
    </row>
    <row r="12" spans="1:18" s="37" customFormat="1" x14ac:dyDescent="0.25">
      <c r="B12" s="138" t="s">
        <v>33</v>
      </c>
      <c r="C12" s="91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549"/>
    </row>
    <row r="13" spans="1:18" s="37" customFormat="1" x14ac:dyDescent="0.25">
      <c r="B13" s="139" t="s">
        <v>34</v>
      </c>
      <c r="C13" s="91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549"/>
    </row>
    <row r="14" spans="1:18" s="97" customFormat="1" x14ac:dyDescent="0.25">
      <c r="B14" s="97" t="s">
        <v>35</v>
      </c>
      <c r="C14" s="91"/>
      <c r="D14" s="96">
        <f t="shared" ref="D14:Q14" si="0">D12-D13</f>
        <v>0</v>
      </c>
      <c r="E14" s="96">
        <f t="shared" si="0"/>
        <v>0</v>
      </c>
      <c r="F14" s="96">
        <f t="shared" si="0"/>
        <v>0</v>
      </c>
      <c r="G14" s="96">
        <f t="shared" si="0"/>
        <v>0</v>
      </c>
      <c r="H14" s="96">
        <f t="shared" si="0"/>
        <v>0</v>
      </c>
      <c r="I14" s="96">
        <f t="shared" si="0"/>
        <v>0</v>
      </c>
      <c r="J14" s="96">
        <f t="shared" si="0"/>
        <v>0</v>
      </c>
      <c r="K14" s="96">
        <f t="shared" si="0"/>
        <v>0</v>
      </c>
      <c r="L14" s="96">
        <f t="shared" si="0"/>
        <v>0</v>
      </c>
      <c r="M14" s="96">
        <f t="shared" si="0"/>
        <v>0</v>
      </c>
      <c r="N14" s="96">
        <f t="shared" si="0"/>
        <v>0</v>
      </c>
      <c r="O14" s="96">
        <f t="shared" si="0"/>
        <v>0</v>
      </c>
      <c r="P14" s="96">
        <f t="shared" si="0"/>
        <v>0</v>
      </c>
      <c r="Q14" s="96">
        <f t="shared" si="0"/>
        <v>0</v>
      </c>
      <c r="R14" s="549"/>
    </row>
    <row r="15" spans="1:18" s="37" customFormat="1" x14ac:dyDescent="0.25">
      <c r="B15" s="97" t="s">
        <v>36</v>
      </c>
      <c r="C15" s="91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549"/>
    </row>
    <row r="16" spans="1:18" s="37" customFormat="1" x14ac:dyDescent="0.25">
      <c r="B16" s="140" t="s">
        <v>97</v>
      </c>
      <c r="C16" s="91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549"/>
    </row>
    <row r="17" spans="1:18" s="97" customFormat="1" x14ac:dyDescent="0.25">
      <c r="A17" s="1" t="s">
        <v>37</v>
      </c>
      <c r="C17" s="91"/>
      <c r="D17" s="96">
        <f t="shared" ref="D17:Q17" si="1">SUM(D5,D6,D7,D8,D9,D10,D11,D14,D15,D16)</f>
        <v>53270.674506842901</v>
      </c>
      <c r="E17" s="96">
        <f t="shared" si="1"/>
        <v>32263.34448793796</v>
      </c>
      <c r="F17" s="96">
        <f t="shared" si="1"/>
        <v>31327.019125877036</v>
      </c>
      <c r="G17" s="96">
        <f t="shared" si="1"/>
        <v>26301.566257945175</v>
      </c>
      <c r="H17" s="96">
        <f t="shared" si="1"/>
        <v>35211.737624684873</v>
      </c>
      <c r="I17" s="96">
        <f t="shared" si="1"/>
        <v>35689.653276550467</v>
      </c>
      <c r="J17" s="96">
        <f t="shared" si="1"/>
        <v>36167.568928416069</v>
      </c>
      <c r="K17" s="96">
        <f t="shared" si="1"/>
        <v>36645.484580281671</v>
      </c>
      <c r="L17" s="96">
        <f t="shared" si="1"/>
        <v>37123.400232147265</v>
      </c>
      <c r="M17" s="96">
        <f t="shared" si="1"/>
        <v>40871.113654501896</v>
      </c>
      <c r="N17" s="96">
        <f t="shared" si="1"/>
        <v>43543.381365486879</v>
      </c>
      <c r="O17" s="96">
        <f t="shared" si="1"/>
        <v>46141.339037608312</v>
      </c>
      <c r="P17" s="96">
        <f t="shared" si="1"/>
        <v>48294.147840692851</v>
      </c>
      <c r="Q17" s="96">
        <f t="shared" si="1"/>
        <v>49783.255501968575</v>
      </c>
      <c r="R17" s="549"/>
    </row>
    <row r="18" spans="1:18" x14ac:dyDescent="0.25">
      <c r="B18" s="97"/>
      <c r="H18"/>
      <c r="M18"/>
      <c r="N18"/>
      <c r="O18"/>
      <c r="P18"/>
      <c r="Q18"/>
      <c r="R18" s="549"/>
    </row>
    <row r="19" spans="1:18" s="55" customFormat="1" x14ac:dyDescent="0.25">
      <c r="A19" s="43" t="s">
        <v>38</v>
      </c>
      <c r="B19" s="63"/>
      <c r="C19" s="89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  <c r="O19" s="546"/>
      <c r="P19" s="546"/>
      <c r="Q19" s="546"/>
      <c r="R19" s="549"/>
    </row>
    <row r="20" spans="1:18" s="55" customFormat="1" x14ac:dyDescent="0.25">
      <c r="B20" s="63" t="s">
        <v>39</v>
      </c>
      <c r="C20" s="89"/>
      <c r="D20" s="64">
        <f>Debt!D34</f>
        <v>0</v>
      </c>
      <c r="E20" s="64">
        <f>Debt!E34</f>
        <v>0</v>
      </c>
      <c r="F20" s="64">
        <f>Debt!F34</f>
        <v>2629.5790000000002</v>
      </c>
      <c r="G20" s="64">
        <f>Debt!G34</f>
        <v>-1392</v>
      </c>
      <c r="H20" s="64">
        <f>Debt!H34</f>
        <v>1135</v>
      </c>
      <c r="I20" s="64">
        <f>Debt!I34</f>
        <v>0</v>
      </c>
      <c r="J20" s="64">
        <f>Debt!J34</f>
        <v>0</v>
      </c>
      <c r="K20" s="64">
        <f>Debt!K34</f>
        <v>0</v>
      </c>
      <c r="L20" s="64">
        <f>Debt!L34</f>
        <v>0</v>
      </c>
      <c r="M20" s="64">
        <f>Debt!M34</f>
        <v>0</v>
      </c>
      <c r="N20" s="64">
        <f>Debt!N34</f>
        <v>0</v>
      </c>
      <c r="O20" s="64">
        <f>Debt!O34</f>
        <v>0</v>
      </c>
      <c r="P20" s="64">
        <f>Debt!P34</f>
        <v>0</v>
      </c>
      <c r="Q20" s="64">
        <f>Debt!Q34</f>
        <v>0</v>
      </c>
      <c r="R20" s="549"/>
    </row>
    <row r="21" spans="1:18" s="55" customFormat="1" x14ac:dyDescent="0.25">
      <c r="B21" s="55" t="s">
        <v>124</v>
      </c>
      <c r="C21" s="89"/>
      <c r="D21" s="64">
        <f>D48*Biz2pl!D6/365</f>
        <v>48395.687219315187</v>
      </c>
      <c r="E21" s="64">
        <f>E48*Biz2pl!E6/365</f>
        <v>24231.784200410249</v>
      </c>
      <c r="F21" s="64">
        <f>F48*Biz2pl!F6/365</f>
        <v>19246.754838349319</v>
      </c>
      <c r="G21" s="64">
        <f>G48*Biz2pl!G6/365</f>
        <v>17972.964970417463</v>
      </c>
      <c r="H21" s="64">
        <f>H48*Biz2pl!H6/365</f>
        <v>23585.547433599833</v>
      </c>
      <c r="I21" s="64">
        <f>I48*Biz2pl!I6/365</f>
        <v>23585.547433599833</v>
      </c>
      <c r="J21" s="64">
        <f>J48*Biz2pl!J6/365</f>
        <v>23585.547433599833</v>
      </c>
      <c r="K21" s="64">
        <f>K48*Biz2pl!K6/365</f>
        <v>23585.547433599833</v>
      </c>
      <c r="L21" s="64">
        <f>L48*Biz2pl!L6/365</f>
        <v>23585.547433599833</v>
      </c>
      <c r="M21" s="64">
        <f>M48*Biz2pl!M6/365</f>
        <v>25991.271285645667</v>
      </c>
      <c r="N21" s="64">
        <f>N48*Biz2pl!N6/365</f>
        <v>26662.823434638147</v>
      </c>
      <c r="O21" s="64">
        <f>O48*Biz2pl!O6/365</f>
        <v>27325.586890328956</v>
      </c>
      <c r="P21" s="64">
        <f>P48*Biz2pl!P6/365</f>
        <v>27651.018117122996</v>
      </c>
      <c r="Q21" s="64">
        <f>Q48*Biz2pl!Q6/365</f>
        <v>27312.748202108214</v>
      </c>
      <c r="R21" s="549"/>
    </row>
    <row r="22" spans="1:18" s="55" customFormat="1" x14ac:dyDescent="0.25">
      <c r="B22" s="55" t="s">
        <v>40</v>
      </c>
      <c r="C22" s="89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549"/>
    </row>
    <row r="23" spans="1:18" s="55" customFormat="1" x14ac:dyDescent="0.25">
      <c r="B23" s="55" t="s">
        <v>41</v>
      </c>
      <c r="C23" s="89"/>
      <c r="D23" s="98">
        <v>6610.5</v>
      </c>
      <c r="E23" s="98">
        <v>5775</v>
      </c>
      <c r="F23" s="98">
        <v>3413.1</v>
      </c>
      <c r="G23" s="98">
        <v>2778.6749999999997</v>
      </c>
      <c r="H23" s="98">
        <v>2357.2343785573216</v>
      </c>
      <c r="I23" s="98">
        <f>$H23</f>
        <v>2357.2343785573216</v>
      </c>
      <c r="J23" s="98">
        <f t="shared" ref="J23:L23" si="2">$H23</f>
        <v>2357.2343785573216</v>
      </c>
      <c r="K23" s="98">
        <f t="shared" si="2"/>
        <v>2357.2343785573216</v>
      </c>
      <c r="L23" s="98">
        <f t="shared" si="2"/>
        <v>2357.2343785573216</v>
      </c>
      <c r="M23" s="98">
        <v>2630.7341244037143</v>
      </c>
      <c r="N23" s="98">
        <v>3023.0036172688774</v>
      </c>
      <c r="O23" s="98">
        <v>3228.095996408993</v>
      </c>
      <c r="P23" s="98">
        <v>3228.095996408993</v>
      </c>
      <c r="Q23" s="98">
        <v>3228.095996408993</v>
      </c>
      <c r="R23" s="549"/>
    </row>
    <row r="24" spans="1:18" s="55" customFormat="1" x14ac:dyDescent="0.25">
      <c r="B24" s="55" t="s">
        <v>42</v>
      </c>
      <c r="C24" s="89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549"/>
    </row>
    <row r="25" spans="1:18" s="55" customFormat="1" x14ac:dyDescent="0.25">
      <c r="B25" s="55" t="s">
        <v>43</v>
      </c>
      <c r="C25" s="89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549"/>
    </row>
    <row r="26" spans="1:18" s="55" customFormat="1" x14ac:dyDescent="0.25">
      <c r="B26" s="65" t="s">
        <v>44</v>
      </c>
      <c r="C26" s="89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549"/>
    </row>
    <row r="27" spans="1:18" s="63" customFormat="1" x14ac:dyDescent="0.25">
      <c r="A27" s="43" t="s">
        <v>45</v>
      </c>
      <c r="B27" s="55"/>
      <c r="C27" s="89"/>
      <c r="D27" s="64">
        <f t="shared" ref="D27:Q27" si="3">SUM(D20,D21,D22,D23,D24,D25,D26)</f>
        <v>55006.187219315187</v>
      </c>
      <c r="E27" s="64">
        <f t="shared" si="3"/>
        <v>30006.784200410249</v>
      </c>
      <c r="F27" s="64">
        <f t="shared" si="3"/>
        <v>25289.43383834932</v>
      </c>
      <c r="G27" s="64">
        <f t="shared" si="3"/>
        <v>19359.639970417462</v>
      </c>
      <c r="H27" s="64">
        <f t="shared" si="3"/>
        <v>27077.781812157154</v>
      </c>
      <c r="I27" s="64">
        <f t="shared" si="3"/>
        <v>25942.781812157154</v>
      </c>
      <c r="J27" s="64">
        <f t="shared" si="3"/>
        <v>25942.781812157154</v>
      </c>
      <c r="K27" s="64">
        <f t="shared" si="3"/>
        <v>25942.781812157154</v>
      </c>
      <c r="L27" s="64">
        <f t="shared" si="3"/>
        <v>25942.781812157154</v>
      </c>
      <c r="M27" s="64">
        <f t="shared" si="3"/>
        <v>28622.00541004938</v>
      </c>
      <c r="N27" s="64">
        <f t="shared" si="3"/>
        <v>29685.827051907025</v>
      </c>
      <c r="O27" s="64">
        <f t="shared" si="3"/>
        <v>30553.682886737948</v>
      </c>
      <c r="P27" s="64">
        <f t="shared" si="3"/>
        <v>30879.114113531989</v>
      </c>
      <c r="Q27" s="64">
        <f t="shared" si="3"/>
        <v>30540.844198517207</v>
      </c>
      <c r="R27" s="549"/>
    </row>
    <row r="28" spans="1:18" x14ac:dyDescent="0.25">
      <c r="H28"/>
      <c r="M28"/>
      <c r="N28"/>
      <c r="O28"/>
      <c r="P28"/>
      <c r="Q28"/>
      <c r="R28" s="549"/>
    </row>
    <row r="29" spans="1:18" s="69" customFormat="1" x14ac:dyDescent="0.25">
      <c r="A29" s="68" t="s">
        <v>46</v>
      </c>
      <c r="C29" s="89"/>
      <c r="D29" s="70"/>
      <c r="E29" s="70"/>
      <c r="F29" s="70"/>
      <c r="G29" s="71"/>
      <c r="H29" s="72"/>
      <c r="I29" s="73"/>
      <c r="J29" s="73"/>
      <c r="K29" s="73"/>
      <c r="L29" s="73"/>
      <c r="M29" s="72"/>
      <c r="N29" s="72"/>
      <c r="O29" s="72"/>
      <c r="P29" s="72"/>
      <c r="Q29" s="72"/>
      <c r="R29" s="549"/>
    </row>
    <row r="30" spans="1:18" s="69" customFormat="1" x14ac:dyDescent="0.25">
      <c r="A30" s="74" t="s">
        <v>562</v>
      </c>
      <c r="C30" s="75"/>
      <c r="D30" s="519"/>
      <c r="E30" s="519"/>
      <c r="F30" s="519"/>
      <c r="G30" s="519"/>
      <c r="H30" s="519"/>
      <c r="I30" s="519"/>
      <c r="J30" s="519"/>
      <c r="K30" s="519"/>
      <c r="L30" s="519"/>
      <c r="M30" s="519"/>
      <c r="N30" s="519"/>
      <c r="O30" s="519"/>
      <c r="P30" s="519"/>
      <c r="Q30" s="519"/>
      <c r="R30" s="549"/>
    </row>
    <row r="31" spans="1:18" s="69" customFormat="1" x14ac:dyDescent="0.25">
      <c r="B31" s="69" t="s">
        <v>47</v>
      </c>
      <c r="C31" s="75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49"/>
    </row>
    <row r="32" spans="1:18" s="69" customFormat="1" x14ac:dyDescent="0.25">
      <c r="B32" s="69" t="s">
        <v>48</v>
      </c>
      <c r="C32" s="75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549"/>
    </row>
    <row r="33" spans="1:18" s="69" customFormat="1" x14ac:dyDescent="0.25">
      <c r="B33" s="69" t="s">
        <v>49</v>
      </c>
      <c r="C33" s="75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549"/>
    </row>
    <row r="34" spans="1:18" s="69" customFormat="1" x14ac:dyDescent="0.25">
      <c r="B34" s="81" t="s">
        <v>50</v>
      </c>
      <c r="C34" s="75"/>
      <c r="D34" s="544">
        <v>-1735.5127124722858</v>
      </c>
      <c r="E34" s="544">
        <v>2256.5602875277109</v>
      </c>
      <c r="F34" s="544">
        <v>6037.5852875277124</v>
      </c>
      <c r="G34" s="544">
        <v>6941.9262875277127</v>
      </c>
      <c r="H34" s="544">
        <v>8133.9558125277144</v>
      </c>
      <c r="I34" s="544">
        <v>9746.871464393309</v>
      </c>
      <c r="J34" s="544">
        <v>10224.787116258911</v>
      </c>
      <c r="K34" s="544">
        <v>10702.702768124513</v>
      </c>
      <c r="L34" s="544">
        <v>11180.618419990114</v>
      </c>
      <c r="M34" s="544">
        <v>12249.108244452509</v>
      </c>
      <c r="N34" s="544">
        <v>13857.554313579854</v>
      </c>
      <c r="O34" s="544">
        <v>15587.656150870363</v>
      </c>
      <c r="P34" s="544">
        <v>17415.033727160866</v>
      </c>
      <c r="Q34" s="544">
        <v>19242.411303451372</v>
      </c>
      <c r="R34" s="548" t="s">
        <v>520</v>
      </c>
    </row>
    <row r="35" spans="1:18" s="69" customFormat="1" x14ac:dyDescent="0.25">
      <c r="B35" s="74" t="s">
        <v>51</v>
      </c>
      <c r="C35" s="75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/>
    </row>
    <row r="36" spans="1:18" s="81" customFormat="1" x14ac:dyDescent="0.25">
      <c r="A36" s="69" t="s">
        <v>563</v>
      </c>
      <c r="B36" s="69"/>
      <c r="C36" s="75"/>
      <c r="D36" s="82">
        <f t="shared" ref="D36:Q36" si="4">SUM(D31,D32,D33,D34,D35)</f>
        <v>-1735.5127124722858</v>
      </c>
      <c r="E36" s="82">
        <f t="shared" si="4"/>
        <v>2256.5602875277109</v>
      </c>
      <c r="F36" s="82">
        <f t="shared" si="4"/>
        <v>6037.5852875277124</v>
      </c>
      <c r="G36" s="82">
        <f t="shared" si="4"/>
        <v>6941.9262875277127</v>
      </c>
      <c r="H36" s="82">
        <f t="shared" si="4"/>
        <v>8133.9558125277144</v>
      </c>
      <c r="I36" s="82">
        <f t="shared" si="4"/>
        <v>9746.871464393309</v>
      </c>
      <c r="J36" s="82">
        <f t="shared" si="4"/>
        <v>10224.787116258911</v>
      </c>
      <c r="K36" s="82">
        <f t="shared" si="4"/>
        <v>10702.702768124513</v>
      </c>
      <c r="L36" s="82">
        <f t="shared" si="4"/>
        <v>11180.618419990114</v>
      </c>
      <c r="M36" s="82">
        <f t="shared" si="4"/>
        <v>12249.108244452509</v>
      </c>
      <c r="N36" s="82">
        <f t="shared" si="4"/>
        <v>13857.554313579854</v>
      </c>
      <c r="O36" s="82">
        <f t="shared" si="4"/>
        <v>15587.656150870363</v>
      </c>
      <c r="P36" s="82">
        <f t="shared" si="4"/>
        <v>17415.033727160866</v>
      </c>
      <c r="Q36" s="82">
        <f t="shared" si="4"/>
        <v>19242.411303451372</v>
      </c>
      <c r="R36"/>
    </row>
    <row r="37" spans="1:18" s="69" customFormat="1" x14ac:dyDescent="0.25">
      <c r="B37" s="74" t="s">
        <v>52</v>
      </c>
      <c r="C37" s="75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/>
    </row>
    <row r="38" spans="1:18" s="81" customFormat="1" x14ac:dyDescent="0.25">
      <c r="A38" s="68" t="s">
        <v>53</v>
      </c>
      <c r="B38" s="69"/>
      <c r="C38" s="89"/>
      <c r="D38" s="82">
        <f t="shared" ref="D38:Q38" si="5">SUM(D36,D37)</f>
        <v>-1735.5127124722858</v>
      </c>
      <c r="E38" s="82">
        <f t="shared" si="5"/>
        <v>2256.5602875277109</v>
      </c>
      <c r="F38" s="82">
        <f t="shared" si="5"/>
        <v>6037.5852875277124</v>
      </c>
      <c r="G38" s="82">
        <f t="shared" si="5"/>
        <v>6941.9262875277127</v>
      </c>
      <c r="H38" s="82">
        <f t="shared" si="5"/>
        <v>8133.9558125277144</v>
      </c>
      <c r="I38" s="82">
        <f t="shared" si="5"/>
        <v>9746.871464393309</v>
      </c>
      <c r="J38" s="82">
        <f t="shared" si="5"/>
        <v>10224.787116258911</v>
      </c>
      <c r="K38" s="82">
        <f t="shared" si="5"/>
        <v>10702.702768124513</v>
      </c>
      <c r="L38" s="82">
        <f t="shared" si="5"/>
        <v>11180.618419990114</v>
      </c>
      <c r="M38" s="82">
        <f t="shared" si="5"/>
        <v>12249.108244452509</v>
      </c>
      <c r="N38" s="82">
        <f t="shared" si="5"/>
        <v>13857.554313579854</v>
      </c>
      <c r="O38" s="82">
        <f t="shared" si="5"/>
        <v>15587.656150870363</v>
      </c>
      <c r="P38" s="82">
        <f t="shared" si="5"/>
        <v>17415.033727160866</v>
      </c>
      <c r="Q38" s="82">
        <f t="shared" si="5"/>
        <v>19242.411303451372</v>
      </c>
      <c r="R38"/>
    </row>
    <row r="39" spans="1:18" s="19" customFormat="1" x14ac:dyDescent="0.25">
      <c r="A39" s="31" t="s">
        <v>54</v>
      </c>
      <c r="B39" s="14"/>
      <c r="C39" s="89"/>
      <c r="D39" s="20">
        <f t="shared" ref="D39:Q39" si="6">SUM(D27,D38)</f>
        <v>53270.674506842901</v>
      </c>
      <c r="E39" s="20">
        <f t="shared" si="6"/>
        <v>32263.34448793796</v>
      </c>
      <c r="F39" s="20">
        <f t="shared" si="6"/>
        <v>31327.019125877032</v>
      </c>
      <c r="G39" s="20">
        <f t="shared" si="6"/>
        <v>26301.566257945175</v>
      </c>
      <c r="H39" s="20">
        <f t="shared" si="6"/>
        <v>35211.737624684873</v>
      </c>
      <c r="I39" s="20">
        <f t="shared" si="6"/>
        <v>35689.653276550467</v>
      </c>
      <c r="J39" s="20">
        <f t="shared" si="6"/>
        <v>36167.568928416062</v>
      </c>
      <c r="K39" s="20">
        <f t="shared" si="6"/>
        <v>36645.484580281671</v>
      </c>
      <c r="L39" s="20">
        <f t="shared" si="6"/>
        <v>37123.400232147265</v>
      </c>
      <c r="M39" s="20">
        <f t="shared" si="6"/>
        <v>40871.113654501889</v>
      </c>
      <c r="N39" s="20">
        <f t="shared" si="6"/>
        <v>43543.381365486879</v>
      </c>
      <c r="O39" s="20">
        <f t="shared" si="6"/>
        <v>46141.339037608312</v>
      </c>
      <c r="P39" s="20">
        <f t="shared" si="6"/>
        <v>48294.147840692851</v>
      </c>
      <c r="Q39" s="20">
        <f t="shared" si="6"/>
        <v>49783.255501968582</v>
      </c>
      <c r="R39"/>
    </row>
    <row r="40" spans="1:18" x14ac:dyDescent="0.25">
      <c r="H40"/>
      <c r="M40"/>
      <c r="N40"/>
      <c r="O40"/>
      <c r="P40"/>
      <c r="Q40"/>
    </row>
    <row r="41" spans="1:18" x14ac:dyDescent="0.25">
      <c r="A41" t="s">
        <v>107</v>
      </c>
      <c r="D41" s="20">
        <f>SUM(D5,D7,D8,D9,D16)-SUM(D21,D23)</f>
        <v>-1735.5127124722858</v>
      </c>
      <c r="E41" s="20">
        <f>SUM(E5,E7,E8,E9,E16)-SUM(E21,E23)</f>
        <v>2256.5602875277109</v>
      </c>
      <c r="F41" s="20">
        <f>SUM(F5,F7,F8,F9,F16)-SUM(F21,F23)</f>
        <v>8667.1642875277175</v>
      </c>
      <c r="G41" s="20">
        <f>SUM(G5,G7,G8,G9,G16)-SUM(G21,G23)</f>
        <v>5549.9262875277127</v>
      </c>
      <c r="H41" s="20">
        <f>SUM(H5,H7,H8,H9,H16)-SUM(H21,H23)</f>
        <v>9268.9558125277181</v>
      </c>
      <c r="I41" s="20"/>
      <c r="J41" s="20"/>
      <c r="K41" s="20"/>
      <c r="L41" s="20"/>
      <c r="M41" s="20">
        <f>SUM(M5,M7,M8,M9,M16)-SUM(M21,M23)</f>
        <v>12249.108244452516</v>
      </c>
      <c r="N41" s="20">
        <f>SUM(N5,N7,N8,N9,N16)-SUM(N21,N23)</f>
        <v>13857.554313579854</v>
      </c>
      <c r="O41" s="20">
        <f>SUM(O5,O7,O8,O9,O16)-SUM(O21,O23)</f>
        <v>15587.656150870363</v>
      </c>
      <c r="P41" s="20">
        <f>SUM(P5,P7,P8,P9,P16)-SUM(P21,P23)</f>
        <v>17415.033727160862</v>
      </c>
      <c r="Q41" s="20">
        <f>SUM(Q5,Q7,Q8,Q9,Q16)-SUM(Q21,Q23)</f>
        <v>19242.411303451368</v>
      </c>
    </row>
    <row r="42" spans="1:18" x14ac:dyDescent="0.25">
      <c r="H42"/>
      <c r="M42"/>
      <c r="N42"/>
      <c r="O42"/>
      <c r="P42"/>
      <c r="Q42"/>
    </row>
    <row r="43" spans="1:18" s="449" customFormat="1" ht="9" collapsed="1" x14ac:dyDescent="0.15">
      <c r="A43" s="446" t="s">
        <v>55</v>
      </c>
      <c r="C43" s="89"/>
      <c r="D43" s="443">
        <f t="shared" ref="D43:Q43" si="7">D17-D39</f>
        <v>0</v>
      </c>
      <c r="E43" s="443">
        <f t="shared" si="7"/>
        <v>0</v>
      </c>
      <c r="F43" s="443">
        <f t="shared" si="7"/>
        <v>0</v>
      </c>
      <c r="G43" s="443">
        <f t="shared" si="7"/>
        <v>0</v>
      </c>
      <c r="H43" s="443">
        <f t="shared" si="7"/>
        <v>0</v>
      </c>
      <c r="I43" s="443">
        <f t="shared" si="7"/>
        <v>0</v>
      </c>
      <c r="J43" s="443">
        <f t="shared" si="7"/>
        <v>0</v>
      </c>
      <c r="K43" s="443">
        <f t="shared" si="7"/>
        <v>0</v>
      </c>
      <c r="L43" s="443">
        <f t="shared" si="7"/>
        <v>0</v>
      </c>
      <c r="M43" s="443">
        <f t="shared" si="7"/>
        <v>0</v>
      </c>
      <c r="N43" s="443">
        <f t="shared" si="7"/>
        <v>0</v>
      </c>
      <c r="O43" s="443">
        <f t="shared" si="7"/>
        <v>0</v>
      </c>
      <c r="P43" s="443">
        <f t="shared" si="7"/>
        <v>0</v>
      </c>
      <c r="Q43" s="443">
        <f t="shared" si="7"/>
        <v>0</v>
      </c>
      <c r="R43" s="450"/>
    </row>
    <row r="45" spans="1:18" x14ac:dyDescent="0.25">
      <c r="A45" s="558" t="s">
        <v>521</v>
      </c>
      <c r="B45" s="559"/>
      <c r="C45" s="552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3"/>
    </row>
    <row r="46" spans="1:18" x14ac:dyDescent="0.25">
      <c r="A46" s="560"/>
      <c r="B46" s="561" t="s">
        <v>518</v>
      </c>
      <c r="C46" s="550"/>
      <c r="D46" s="564">
        <v>6.1655635950295178</v>
      </c>
      <c r="E46" s="564">
        <v>9.4193664090068889</v>
      </c>
      <c r="F46" s="564">
        <v>5.3813642755544064</v>
      </c>
      <c r="G46" s="564">
        <v>5.6765748046744919</v>
      </c>
      <c r="H46" s="564">
        <v>7.7067388874596494</v>
      </c>
      <c r="I46" s="564">
        <v>2.1153114184777566</v>
      </c>
      <c r="J46" s="564">
        <v>2.1153114184777566</v>
      </c>
      <c r="K46" s="564">
        <v>2.1153114184777566</v>
      </c>
      <c r="L46" s="564">
        <v>2.1153114184777566</v>
      </c>
      <c r="M46" s="564">
        <v>6.4823748721355097</v>
      </c>
      <c r="N46" s="564">
        <v>6.9834519720632979</v>
      </c>
      <c r="O46" s="564">
        <v>6.9844249396645512</v>
      </c>
      <c r="P46" s="564">
        <v>6.9844249396645512</v>
      </c>
      <c r="Q46" s="564">
        <v>6.9844249396645512</v>
      </c>
      <c r="R46" s="554"/>
    </row>
    <row r="47" spans="1:18" x14ac:dyDescent="0.25">
      <c r="A47" s="560"/>
      <c r="B47" s="561" t="s">
        <v>517</v>
      </c>
      <c r="C47" s="550"/>
      <c r="D47" s="565">
        <v>36.520647439046293</v>
      </c>
      <c r="E47" s="565">
        <v>27.692383986907185</v>
      </c>
      <c r="F47" s="565">
        <v>28.217132831838946</v>
      </c>
      <c r="G47" s="565">
        <v>23.445565621843542</v>
      </c>
      <c r="H47" s="565">
        <v>20.968995078519288</v>
      </c>
      <c r="I47" s="565">
        <v>75.724391012695818</v>
      </c>
      <c r="J47" s="565">
        <v>75.724391012695818</v>
      </c>
      <c r="K47" s="565">
        <v>75.724391012695818</v>
      </c>
      <c r="L47" s="565">
        <v>75.724391012695818</v>
      </c>
      <c r="M47" s="565">
        <v>27.077194787196518</v>
      </c>
      <c r="N47" s="565">
        <v>27.064782541620929</v>
      </c>
      <c r="O47" s="565">
        <v>27.058537972766718</v>
      </c>
      <c r="P47" s="565">
        <v>27.058537972766718</v>
      </c>
      <c r="Q47" s="565">
        <v>27.058537972766718</v>
      </c>
      <c r="R47" s="554"/>
    </row>
    <row r="48" spans="1:18" x14ac:dyDescent="0.25">
      <c r="A48" s="560"/>
      <c r="B48" s="561" t="s">
        <v>516</v>
      </c>
      <c r="C48" s="550"/>
      <c r="D48" s="565">
        <v>88.778450410359454</v>
      </c>
      <c r="E48" s="565">
        <v>67.430593546725078</v>
      </c>
      <c r="F48" s="565">
        <v>101.32939341397542</v>
      </c>
      <c r="G48" s="565">
        <v>83.800214787404343</v>
      </c>
      <c r="H48" s="565">
        <v>74.924279700118717</v>
      </c>
      <c r="I48" s="565">
        <v>272.97250652357332</v>
      </c>
      <c r="J48" s="565">
        <v>272.97250652357332</v>
      </c>
      <c r="K48" s="565">
        <v>272.97250652357332</v>
      </c>
      <c r="L48" s="565">
        <v>272.97250652357332</v>
      </c>
      <c r="M48" s="565">
        <v>75.20391980036807</v>
      </c>
      <c r="N48" s="565">
        <v>75.177720431130268</v>
      </c>
      <c r="O48" s="565">
        <v>75.167247774190372</v>
      </c>
      <c r="P48" s="565">
        <v>76.062444271014513</v>
      </c>
      <c r="Q48" s="565">
        <v>75.131931099659013</v>
      </c>
      <c r="R48" s="554"/>
    </row>
    <row r="49" spans="1:18" x14ac:dyDescent="0.25">
      <c r="A49" s="562"/>
      <c r="B49" s="563"/>
      <c r="C49" s="556"/>
      <c r="D49" s="555"/>
      <c r="E49" s="555"/>
      <c r="F49" s="555"/>
      <c r="G49" s="555"/>
      <c r="H49" s="555"/>
      <c r="I49" s="555"/>
      <c r="J49" s="555"/>
      <c r="K49" s="555"/>
      <c r="L49" s="555"/>
      <c r="M49" s="555"/>
      <c r="N49" s="555"/>
      <c r="O49" s="555"/>
      <c r="P49" s="555"/>
      <c r="Q49" s="555"/>
      <c r="R49" s="557"/>
    </row>
  </sheetData>
  <sheetProtection algorithmName="SHA-512" hashValue="SFC+p/z7vaguz0zBFK934EjP6YfAevKwz11EwGmdcxSIhR+MlTZXasIx9FmDH3HBabozRTkCGMWyuTEhoy0m1A==" saltValue="qFkFP3bDGPaD9F2rq3o2jg==" spinCount="100000" sheet="1" objects="1" scenarios="1"/>
  <conditionalFormatting sqref="D43:Q43">
    <cfRule type="cellIs" dxfId="5" priority="1" operator="notBetween">
      <formula>-1</formula>
      <formula>1</formula>
    </cfRule>
  </conditionalFormatting>
  <pageMargins left="0.7" right="0.7" top="0.75" bottom="0.75" header="0.3" footer="0.3"/>
  <pageSetup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39997558519241921"/>
  </sheetPr>
  <dimension ref="A1:R53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6.140625" customWidth="1"/>
    <col min="2" max="2" width="41.28515625" customWidth="1"/>
    <col min="3" max="3" width="2.28515625" style="2" bestFit="1" customWidth="1"/>
    <col min="4" max="7" width="9.85546875" bestFit="1" customWidth="1"/>
    <col min="8" max="8" width="9.85546875" style="36" bestFit="1" customWidth="1"/>
    <col min="9" max="11" width="7.5703125" customWidth="1"/>
    <col min="12" max="12" width="8" bestFit="1" customWidth="1"/>
    <col min="13" max="17" width="9.85546875" style="36" bestFit="1" customWidth="1"/>
    <col min="18" max="18" width="10.140625" customWidth="1"/>
  </cols>
  <sheetData>
    <row r="1" spans="1:18" x14ac:dyDescent="0.25">
      <c r="A1" s="43" t="s">
        <v>565</v>
      </c>
      <c r="H1"/>
      <c r="M1"/>
      <c r="N1"/>
      <c r="O1"/>
      <c r="P1"/>
      <c r="Q1"/>
      <c r="R1" s="14"/>
    </row>
    <row r="2" spans="1:18" ht="15.75" thickBot="1" x14ac:dyDescent="0.3">
      <c r="A2" s="43" t="s">
        <v>99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14"/>
    </row>
    <row r="3" spans="1:18" ht="15.75" thickBot="1" x14ac:dyDescent="0.3">
      <c r="C3" s="6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14"/>
    </row>
    <row r="4" spans="1:18" s="37" customFormat="1" x14ac:dyDescent="0.25">
      <c r="A4" s="1" t="s">
        <v>56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 s="14"/>
    </row>
    <row r="5" spans="1:18" s="37" customFormat="1" x14ac:dyDescent="0.25">
      <c r="B5" s="37" t="s">
        <v>57</v>
      </c>
      <c r="C5" s="102"/>
      <c r="D5" s="123">
        <f>Biz2pl!D21</f>
        <v>-6254.9640000000018</v>
      </c>
      <c r="E5" s="123">
        <f>Biz2pl!E21</f>
        <v>1243.3009999999995</v>
      </c>
      <c r="F5" s="123">
        <f>Biz2pl!F21</f>
        <v>974.42100000000084</v>
      </c>
      <c r="G5" s="123">
        <f>Biz2pl!G21</f>
        <v>-455.68100000000072</v>
      </c>
      <c r="H5" s="123">
        <f>Biz2pl!H21</f>
        <v>-947.97047499999951</v>
      </c>
      <c r="I5" s="123">
        <f>Biz2pl!I21</f>
        <v>67.91565186559923</v>
      </c>
      <c r="J5" s="123">
        <f>Biz2pl!J21</f>
        <v>67.91565186559923</v>
      </c>
      <c r="K5" s="123">
        <f>Biz2pl!K21</f>
        <v>67.91565186559923</v>
      </c>
      <c r="L5" s="123">
        <f>Biz2pl!L21</f>
        <v>67.91565186559923</v>
      </c>
      <c r="M5" s="123">
        <f>Biz2pl!M21</f>
        <v>563.48982446239688</v>
      </c>
      <c r="N5" s="123">
        <f>Biz2pl!N21</f>
        <v>468.4460691273456</v>
      </c>
      <c r="O5" s="123">
        <f>Biz2pl!O21</f>
        <v>135.10183729050641</v>
      </c>
      <c r="P5" s="123">
        <f>Biz2pl!P21</f>
        <v>232.37757629050645</v>
      </c>
      <c r="Q5" s="123">
        <f>Biz2pl!Q21</f>
        <v>232.37757629050645</v>
      </c>
      <c r="R5" s="14"/>
    </row>
    <row r="6" spans="1:18" s="37" customFormat="1" x14ac:dyDescent="0.25">
      <c r="B6" s="37" t="s">
        <v>42</v>
      </c>
      <c r="C6" s="102"/>
      <c r="D6" s="124"/>
      <c r="E6" s="123">
        <f>Biz2bs!E24-Biz2bs!D24</f>
        <v>0</v>
      </c>
      <c r="F6" s="123">
        <f>Biz2bs!F24-Biz2bs!E24</f>
        <v>0</v>
      </c>
      <c r="G6" s="123">
        <f>Biz2bs!G24-Biz2bs!F24</f>
        <v>0</v>
      </c>
      <c r="H6" s="123">
        <f>Biz2bs!H24-Biz2bs!G24</f>
        <v>0</v>
      </c>
      <c r="I6" s="123">
        <f>Biz2bs!I24-Biz2bs!H24</f>
        <v>0</v>
      </c>
      <c r="J6" s="123">
        <f>Biz2bs!J24-Biz2bs!I24</f>
        <v>0</v>
      </c>
      <c r="K6" s="123">
        <f>Biz2bs!K24-Biz2bs!J24</f>
        <v>0</v>
      </c>
      <c r="L6" s="123">
        <f>Biz2bs!L24-Biz2bs!K24</f>
        <v>0</v>
      </c>
      <c r="M6" s="123">
        <f>Biz2bs!M24-Biz2bs!L24</f>
        <v>0</v>
      </c>
      <c r="N6" s="123">
        <f>Biz2bs!N24-Biz2bs!M24</f>
        <v>0</v>
      </c>
      <c r="O6" s="123">
        <f>Biz2bs!O24-Biz2bs!N24</f>
        <v>0</v>
      </c>
      <c r="P6" s="123">
        <f>Biz2bs!P24-Biz2bs!O24</f>
        <v>0</v>
      </c>
      <c r="Q6" s="123">
        <f>Biz2bs!Q24-Biz2bs!P24</f>
        <v>0</v>
      </c>
      <c r="R6" s="14"/>
    </row>
    <row r="7" spans="1:18" s="37" customFormat="1" x14ac:dyDescent="0.25">
      <c r="B7" s="37" t="s">
        <v>58</v>
      </c>
      <c r="C7" s="102"/>
      <c r="D7" s="123">
        <f>Biz2pl!D12</f>
        <v>2831.9</v>
      </c>
      <c r="E7" s="123">
        <f>Biz2pl!E12</f>
        <v>1914.4680000000001</v>
      </c>
      <c r="F7" s="123">
        <f>Biz2pl!F12</f>
        <v>1909.3019999999999</v>
      </c>
      <c r="G7" s="123">
        <f>Biz2pl!G12</f>
        <v>1582.761</v>
      </c>
      <c r="H7" s="123">
        <f>Biz2pl!H12</f>
        <v>1798</v>
      </c>
      <c r="I7" s="123">
        <f>Biz2pl!I12</f>
        <v>500</v>
      </c>
      <c r="J7" s="123">
        <f>Biz2pl!J12</f>
        <v>500</v>
      </c>
      <c r="K7" s="123">
        <f>Biz2pl!K12</f>
        <v>500</v>
      </c>
      <c r="L7" s="123">
        <f>Biz2pl!L12</f>
        <v>500</v>
      </c>
      <c r="M7" s="123">
        <f>Biz2pl!M12</f>
        <v>2000</v>
      </c>
      <c r="N7" s="123">
        <f>Biz2pl!N12</f>
        <v>2000</v>
      </c>
      <c r="O7" s="123">
        <f>Biz2pl!O12</f>
        <v>2250</v>
      </c>
      <c r="P7" s="123">
        <f>Biz2pl!P12</f>
        <v>2250</v>
      </c>
      <c r="Q7" s="123">
        <f>Biz2pl!Q12</f>
        <v>2250</v>
      </c>
      <c r="R7" s="14"/>
    </row>
    <row r="8" spans="1:18" s="37" customFormat="1" x14ac:dyDescent="0.25">
      <c r="B8" s="37" t="s">
        <v>59</v>
      </c>
      <c r="C8" s="102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4"/>
    </row>
    <row r="9" spans="1:18" s="37" customFormat="1" x14ac:dyDescent="0.25">
      <c r="B9" s="37" t="s">
        <v>8</v>
      </c>
      <c r="C9" s="102"/>
      <c r="D9" s="123">
        <f>Biz2pl!D11</f>
        <v>0</v>
      </c>
      <c r="E9" s="123">
        <f>Biz2pl!E11</f>
        <v>0</v>
      </c>
      <c r="F9" s="123">
        <f>Biz2pl!F11</f>
        <v>0</v>
      </c>
      <c r="G9" s="123">
        <f>Biz2pl!G11</f>
        <v>0</v>
      </c>
      <c r="H9" s="123">
        <f>Biz2pl!H11</f>
        <v>0</v>
      </c>
      <c r="I9" s="123">
        <f>Biz2pl!I11</f>
        <v>0</v>
      </c>
      <c r="J9" s="123">
        <f>Biz2pl!J11</f>
        <v>0</v>
      </c>
      <c r="K9" s="123">
        <f>Biz2pl!K11</f>
        <v>0</v>
      </c>
      <c r="L9" s="123">
        <f>Biz2pl!L11</f>
        <v>0</v>
      </c>
      <c r="M9" s="123">
        <f>Biz2pl!M11</f>
        <v>0</v>
      </c>
      <c r="N9" s="123">
        <f>Biz2pl!N11</f>
        <v>0</v>
      </c>
      <c r="O9" s="123">
        <f>Biz2pl!O11</f>
        <v>0</v>
      </c>
      <c r="P9" s="123">
        <f>Biz2pl!P11</f>
        <v>0</v>
      </c>
      <c r="Q9" s="123">
        <f>Biz2pl!Q11</f>
        <v>0</v>
      </c>
      <c r="R9" s="14"/>
    </row>
    <row r="10" spans="1:18" s="37" customFormat="1" x14ac:dyDescent="0.25">
      <c r="B10" s="37" t="s">
        <v>60</v>
      </c>
      <c r="C10" s="102"/>
      <c r="D10" s="124">
        <f>-Biz2pl!D20</f>
        <v>0</v>
      </c>
      <c r="E10" s="124">
        <f>-Biz2pl!E20</f>
        <v>0</v>
      </c>
      <c r="F10" s="124">
        <f>-Biz2pl!F20</f>
        <v>0</v>
      </c>
      <c r="G10" s="124">
        <f>-Biz2pl!G20</f>
        <v>0</v>
      </c>
      <c r="H10" s="124">
        <f>-Biz2pl!H20</f>
        <v>0</v>
      </c>
      <c r="I10" s="124">
        <f>-Biz2pl!I20</f>
        <v>0</v>
      </c>
      <c r="J10" s="124">
        <f>-Biz2pl!J20</f>
        <v>0</v>
      </c>
      <c r="K10" s="124">
        <f>-Biz2pl!K20</f>
        <v>0</v>
      </c>
      <c r="L10" s="124">
        <f>-Biz2pl!L20</f>
        <v>0</v>
      </c>
      <c r="M10" s="124">
        <f>-Biz2pl!M20</f>
        <v>0</v>
      </c>
      <c r="N10" s="124">
        <f>-Biz2pl!N20</f>
        <v>0</v>
      </c>
      <c r="O10" s="124">
        <f>-Biz2pl!O20</f>
        <v>0</v>
      </c>
      <c r="P10" s="124">
        <f>-Biz2pl!P20</f>
        <v>0</v>
      </c>
      <c r="Q10" s="124">
        <f>-Biz2pl!Q20</f>
        <v>0</v>
      </c>
      <c r="R10" s="14"/>
    </row>
    <row r="11" spans="1:18" s="97" customFormat="1" x14ac:dyDescent="0.25">
      <c r="A11" s="104" t="s">
        <v>61</v>
      </c>
      <c r="B11" s="37"/>
      <c r="C11" s="91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14"/>
    </row>
    <row r="12" spans="1:18" s="37" customFormat="1" x14ac:dyDescent="0.25">
      <c r="B12" s="37" t="s">
        <v>98</v>
      </c>
      <c r="C12" s="102"/>
      <c r="D12" s="124"/>
      <c r="E12" s="123">
        <f>Biz2bs!D7-Biz2bs!E7</f>
        <v>10083.9724398537</v>
      </c>
      <c r="F12" s="123">
        <f>Biz2bs!E7-Biz2bs!F7</f>
        <v>4673.8791709114457</v>
      </c>
      <c r="G12" s="123">
        <f>Biz2bs!F7-Biz2bs!G7</f>
        <v>554.32561565963624</v>
      </c>
      <c r="H12" s="123">
        <f>Biz2bs!G7-Biz2bs!H7</f>
        <v>-1481.9310589952556</v>
      </c>
      <c r="I12" s="123">
        <f>Biz2bs!H7-Biz2bs!I7</f>
        <v>0</v>
      </c>
      <c r="J12" s="123">
        <f>Biz2bs!I7-Biz2bs!J7</f>
        <v>0</v>
      </c>
      <c r="K12" s="123">
        <f>Biz2bs!J7-Biz2bs!K7</f>
        <v>0</v>
      </c>
      <c r="L12" s="123">
        <f>Biz2bs!K7-Biz2bs!L7</f>
        <v>0</v>
      </c>
      <c r="M12" s="123">
        <f>Biz2bs!L7-Biz2bs!M7</f>
        <v>-3084.8061513265757</v>
      </c>
      <c r="N12" s="123">
        <f>Biz2bs!M7-Biz2bs!N7</f>
        <v>-264.67708257156301</v>
      </c>
      <c r="O12" s="123">
        <f>Biz2bs!N7-Biz2bs!O7</f>
        <v>-260.47268061684554</v>
      </c>
      <c r="P12" s="123">
        <f>Biz2bs!O7-Biz2bs!P7</f>
        <v>0</v>
      </c>
      <c r="Q12" s="123">
        <f>Biz2bs!P7-Biz2bs!Q7</f>
        <v>0</v>
      </c>
      <c r="R12" s="14"/>
    </row>
    <row r="13" spans="1:18" s="37" customFormat="1" x14ac:dyDescent="0.25">
      <c r="B13" s="37" t="s">
        <v>62</v>
      </c>
      <c r="C13" s="102"/>
      <c r="D13" s="124"/>
      <c r="E13" s="123">
        <f>Biz2bs!D8-Biz2bs!E8</f>
        <v>18346.361913275934</v>
      </c>
      <c r="F13" s="123">
        <f>Biz2bs!E8-Biz2bs!F8</f>
        <v>1041.9761515730788</v>
      </c>
      <c r="G13" s="123">
        <f>Biz2bs!F8-Biz2bs!G8</f>
        <v>-907.37010152740913</v>
      </c>
      <c r="H13" s="123">
        <f>Biz2bs!G8-Biz2bs!H8</f>
        <v>-1118.3656987453032</v>
      </c>
      <c r="I13" s="123">
        <f>Biz2bs!H8-Biz2bs!I8</f>
        <v>0</v>
      </c>
      <c r="J13" s="123">
        <f>Biz2bs!I8-Biz2bs!J8</f>
        <v>0</v>
      </c>
      <c r="K13" s="123">
        <f>Biz2bs!J8-Biz2bs!K8</f>
        <v>0</v>
      </c>
      <c r="L13" s="123">
        <f>Biz2bs!K8-Biz2bs!L8</f>
        <v>0</v>
      </c>
      <c r="M13" s="123">
        <f>Biz2bs!L8-Biz2bs!M8</f>
        <v>-4551.2312436087177</v>
      </c>
      <c r="N13" s="123">
        <f>Biz2bs!M8-Biz2bs!N8</f>
        <v>923.12074319287058</v>
      </c>
      <c r="O13" s="123">
        <f>Biz2bs!N8-Biz2bs!O8</f>
        <v>-460.77840252789611</v>
      </c>
      <c r="P13" s="123">
        <f>Biz2bs!O8-Biz2bs!P8</f>
        <v>0</v>
      </c>
      <c r="Q13" s="123">
        <f>Biz2bs!P8-Biz2bs!Q8</f>
        <v>0</v>
      </c>
      <c r="R13" s="14"/>
    </row>
    <row r="14" spans="1:18" s="37" customFormat="1" x14ac:dyDescent="0.25">
      <c r="B14" s="37" t="s">
        <v>30</v>
      </c>
      <c r="C14" s="102"/>
      <c r="D14" s="124"/>
      <c r="E14" s="123">
        <f>Biz2bs!D9-Biz2bs!E9</f>
        <v>0</v>
      </c>
      <c r="F14" s="123">
        <f>Biz2bs!E9-Biz2bs!F9</f>
        <v>0</v>
      </c>
      <c r="G14" s="123">
        <f>Biz2bs!F9-Biz2bs!G9</f>
        <v>0</v>
      </c>
      <c r="H14" s="123">
        <f>Biz2bs!G9-Biz2bs!H9</f>
        <v>0</v>
      </c>
      <c r="I14" s="123">
        <f>Biz2bs!H9-Biz2bs!I9</f>
        <v>0</v>
      </c>
      <c r="J14" s="123">
        <f>Biz2bs!I9-Biz2bs!J9</f>
        <v>0</v>
      </c>
      <c r="K14" s="123">
        <f>Biz2bs!J9-Biz2bs!K9</f>
        <v>0</v>
      </c>
      <c r="L14" s="123">
        <f>Biz2bs!K9-Biz2bs!L9</f>
        <v>0</v>
      </c>
      <c r="M14" s="123">
        <f>Biz2bs!L9-Biz2bs!M9</f>
        <v>0</v>
      </c>
      <c r="N14" s="123">
        <f>Biz2bs!M9-Biz2bs!N9</f>
        <v>0</v>
      </c>
      <c r="O14" s="123">
        <f>Biz2bs!N9-Biz2bs!O9</f>
        <v>0</v>
      </c>
      <c r="P14" s="123">
        <f>Biz2bs!O9-Biz2bs!P9</f>
        <v>0</v>
      </c>
      <c r="Q14" s="123">
        <f>Biz2bs!P9-Biz2bs!Q9</f>
        <v>0</v>
      </c>
      <c r="R14" s="14"/>
    </row>
    <row r="15" spans="1:18" s="37" customFormat="1" x14ac:dyDescent="0.25">
      <c r="B15" s="37" t="s">
        <v>97</v>
      </c>
      <c r="C15" s="102"/>
      <c r="D15" s="124"/>
      <c r="E15" s="123">
        <f>Biz2bs!D16-Biz2bs!E16</f>
        <v>0</v>
      </c>
      <c r="F15" s="123">
        <f>Biz2bs!E16-Biz2bs!F16</f>
        <v>0</v>
      </c>
      <c r="G15" s="123">
        <f>Biz2bs!F16-Biz2bs!G16</f>
        <v>0</v>
      </c>
      <c r="H15" s="123">
        <f>Biz2bs!G16-Biz2bs!H16</f>
        <v>0</v>
      </c>
      <c r="I15" s="123">
        <f>Biz2bs!H16-Biz2bs!I16</f>
        <v>0</v>
      </c>
      <c r="J15" s="123">
        <f>Biz2bs!I16-Biz2bs!J16</f>
        <v>0</v>
      </c>
      <c r="K15" s="123">
        <f>Biz2bs!J16-Biz2bs!K16</f>
        <v>0</v>
      </c>
      <c r="L15" s="123">
        <f>Biz2bs!K16-Biz2bs!L16</f>
        <v>0</v>
      </c>
      <c r="M15" s="123">
        <f>Biz2bs!L16-Biz2bs!M16</f>
        <v>0</v>
      </c>
      <c r="N15" s="123">
        <f>Biz2bs!M16-Biz2bs!N16</f>
        <v>0</v>
      </c>
      <c r="O15" s="123">
        <f>Biz2bs!N16-Biz2bs!O16</f>
        <v>0</v>
      </c>
      <c r="P15" s="123">
        <f>Biz2bs!O16-Biz2bs!P16</f>
        <v>0</v>
      </c>
      <c r="Q15" s="123">
        <f>Biz2bs!P16-Biz2bs!Q16</f>
        <v>0</v>
      </c>
      <c r="R15" s="14"/>
    </row>
    <row r="16" spans="1:18" s="97" customFormat="1" x14ac:dyDescent="0.25">
      <c r="A16" s="104" t="s">
        <v>63</v>
      </c>
      <c r="B16" s="37"/>
      <c r="C16" s="91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14"/>
    </row>
    <row r="17" spans="1:18" s="37" customFormat="1" x14ac:dyDescent="0.25">
      <c r="B17" s="37" t="s">
        <v>124</v>
      </c>
      <c r="C17" s="102"/>
      <c r="D17" s="124"/>
      <c r="E17" s="123">
        <f>Biz2bs!E21-Biz2bs!D21</f>
        <v>-24163.903018904937</v>
      </c>
      <c r="F17" s="123">
        <f>Biz2bs!F21-Biz2bs!E21</f>
        <v>-4985.02936206093</v>
      </c>
      <c r="G17" s="123">
        <f>Biz2bs!G21-Biz2bs!F21</f>
        <v>-1273.7898679318569</v>
      </c>
      <c r="H17" s="123">
        <f>Biz2bs!H21-Biz2bs!G21</f>
        <v>5612.5824631823707</v>
      </c>
      <c r="I17" s="123">
        <f>Biz2bs!I21-Biz2bs!H21</f>
        <v>0</v>
      </c>
      <c r="J17" s="123">
        <f>Biz2bs!J21-Biz2bs!I21</f>
        <v>0</v>
      </c>
      <c r="K17" s="123">
        <f>Biz2bs!K21-Biz2bs!J21</f>
        <v>0</v>
      </c>
      <c r="L17" s="123">
        <f>Biz2bs!L21-Biz2bs!K21</f>
        <v>0</v>
      </c>
      <c r="M17" s="123">
        <f>Biz2bs!M21-Biz2bs!L21</f>
        <v>2405.7238520458341</v>
      </c>
      <c r="N17" s="123">
        <f>Biz2bs!N21-Biz2bs!M21</f>
        <v>671.55214899247949</v>
      </c>
      <c r="O17" s="123">
        <f>Biz2bs!O21-Biz2bs!N21</f>
        <v>662.76345569080877</v>
      </c>
      <c r="P17" s="123">
        <f>Biz2bs!P21-Biz2bs!O21</f>
        <v>325.43122679404041</v>
      </c>
      <c r="Q17" s="123">
        <f>Biz2bs!Q21-Biz2bs!P21</f>
        <v>-338.26991501478187</v>
      </c>
      <c r="R17" s="14"/>
    </row>
    <row r="18" spans="1:18" s="37" customFormat="1" x14ac:dyDescent="0.25">
      <c r="B18" s="37" t="s">
        <v>41</v>
      </c>
      <c r="C18" s="102"/>
      <c r="D18" s="124"/>
      <c r="E18" s="123">
        <f>Biz2bs!E23-Biz2bs!D23</f>
        <v>-835.5</v>
      </c>
      <c r="F18" s="123">
        <f>Biz2bs!F23-Biz2bs!E23</f>
        <v>-2361.9</v>
      </c>
      <c r="G18" s="123">
        <f>Biz2bs!G23-Biz2bs!F23</f>
        <v>-634.42500000000018</v>
      </c>
      <c r="H18" s="123">
        <f>Biz2bs!H23-Biz2bs!G23</f>
        <v>-421.44062144267809</v>
      </c>
      <c r="I18" s="123">
        <f>Biz2bs!I23-Biz2bs!H23</f>
        <v>0</v>
      </c>
      <c r="J18" s="123">
        <f>Biz2bs!J23-Biz2bs!I23</f>
        <v>0</v>
      </c>
      <c r="K18" s="123">
        <f>Biz2bs!K23-Biz2bs!J23</f>
        <v>0</v>
      </c>
      <c r="L18" s="123">
        <f>Biz2bs!L23-Biz2bs!K23</f>
        <v>0</v>
      </c>
      <c r="M18" s="123">
        <f>Biz2bs!M23-Biz2bs!L23</f>
        <v>273.49974584639267</v>
      </c>
      <c r="N18" s="123">
        <f>Biz2bs!N23-Biz2bs!M23</f>
        <v>392.2694928651631</v>
      </c>
      <c r="O18" s="123">
        <f>Biz2bs!O23-Biz2bs!N23</f>
        <v>205.09237914011555</v>
      </c>
      <c r="P18" s="123">
        <f>Biz2bs!P23-Biz2bs!O23</f>
        <v>0</v>
      </c>
      <c r="Q18" s="123">
        <f>Biz2bs!Q23-Biz2bs!P23</f>
        <v>0</v>
      </c>
      <c r="R18" s="14"/>
    </row>
    <row r="19" spans="1:18" s="97" customFormat="1" x14ac:dyDescent="0.25">
      <c r="A19" s="1" t="s">
        <v>64</v>
      </c>
      <c r="B19" s="37"/>
      <c r="C19" s="102"/>
      <c r="D19" s="96">
        <f t="shared" ref="D19:Q19" si="0">SUM(D5,D6,D7,D8,D9,D10,D12,D13,D14,D15,D17,D18)</f>
        <v>-3423.0640000000017</v>
      </c>
      <c r="E19" s="96">
        <f t="shared" si="0"/>
        <v>6588.7003342246971</v>
      </c>
      <c r="F19" s="96">
        <f t="shared" si="0"/>
        <v>1252.6489604235953</v>
      </c>
      <c r="G19" s="96">
        <f t="shared" si="0"/>
        <v>-1134.1793537996307</v>
      </c>
      <c r="H19" s="96">
        <f t="shared" si="0"/>
        <v>3440.8746089991341</v>
      </c>
      <c r="I19" s="96">
        <f t="shared" si="0"/>
        <v>567.91565186559922</v>
      </c>
      <c r="J19" s="96">
        <f t="shared" si="0"/>
        <v>567.91565186559922</v>
      </c>
      <c r="K19" s="96">
        <f t="shared" si="0"/>
        <v>567.91565186559922</v>
      </c>
      <c r="L19" s="96">
        <f t="shared" si="0"/>
        <v>567.91565186559922</v>
      </c>
      <c r="M19" s="96">
        <f t="shared" si="0"/>
        <v>-2393.3239725806693</v>
      </c>
      <c r="N19" s="96">
        <f t="shared" si="0"/>
        <v>4190.7113716062959</v>
      </c>
      <c r="O19" s="96">
        <f t="shared" si="0"/>
        <v>2531.7065889766891</v>
      </c>
      <c r="P19" s="96">
        <f t="shared" si="0"/>
        <v>2807.808803084547</v>
      </c>
      <c r="Q19" s="96">
        <f t="shared" si="0"/>
        <v>2144.1076612757247</v>
      </c>
      <c r="R19" s="14"/>
    </row>
    <row r="20" spans="1:18" x14ac:dyDescent="0.25">
      <c r="C20"/>
      <c r="H20"/>
      <c r="M20"/>
      <c r="N20"/>
      <c r="O20"/>
      <c r="P20"/>
      <c r="Q20"/>
      <c r="R20" s="14"/>
    </row>
    <row r="21" spans="1:18" s="113" customFormat="1" x14ac:dyDescent="0.25">
      <c r="A21" s="108" t="s">
        <v>65</v>
      </c>
      <c r="B21" s="44"/>
      <c r="C21" s="2"/>
      <c r="D21" s="109"/>
      <c r="E21" s="109"/>
      <c r="F21" s="109"/>
      <c r="G21" s="110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4"/>
    </row>
    <row r="22" spans="1:18" s="113" customFormat="1" x14ac:dyDescent="0.25">
      <c r="B22" s="113" t="s">
        <v>66</v>
      </c>
      <c r="C22" s="117"/>
      <c r="D22" s="98"/>
      <c r="E22" s="120">
        <f>Biz2bs!D6-Biz2bs!E6</f>
        <v>0</v>
      </c>
      <c r="F22" s="120">
        <f>Biz2bs!E6-Biz2bs!F6</f>
        <v>0</v>
      </c>
      <c r="G22" s="120">
        <f>Biz2bs!F6-Biz2bs!G6</f>
        <v>0</v>
      </c>
      <c r="H22" s="120">
        <f>Biz2bs!G6-Biz2bs!H6</f>
        <v>0</v>
      </c>
      <c r="I22" s="120">
        <f>Biz2bs!H6-Biz2bs!I6</f>
        <v>0</v>
      </c>
      <c r="J22" s="120">
        <f>Biz2bs!I6-Biz2bs!J6</f>
        <v>0</v>
      </c>
      <c r="K22" s="120">
        <f>Biz2bs!J6-Biz2bs!K6</f>
        <v>0</v>
      </c>
      <c r="L22" s="120">
        <f>Biz2bs!K6-Biz2bs!L6</f>
        <v>0</v>
      </c>
      <c r="M22" s="120">
        <f>Biz2bs!L6-Biz2bs!M6</f>
        <v>0</v>
      </c>
      <c r="N22" s="120">
        <f>Biz2bs!M6-Biz2bs!N6</f>
        <v>0</v>
      </c>
      <c r="O22" s="120">
        <f>Biz2bs!N6-Biz2bs!O6</f>
        <v>0</v>
      </c>
      <c r="P22" s="120">
        <f>Biz2bs!O6-Biz2bs!P6</f>
        <v>0</v>
      </c>
      <c r="Q22" s="120">
        <f>Biz2bs!P6-Biz2bs!Q6</f>
        <v>0</v>
      </c>
      <c r="R22" s="14"/>
    </row>
    <row r="23" spans="1:18" s="113" customFormat="1" x14ac:dyDescent="0.25">
      <c r="B23" s="113" t="s">
        <v>67</v>
      </c>
      <c r="C23" s="117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14"/>
    </row>
    <row r="24" spans="1:18" s="113" customFormat="1" x14ac:dyDescent="0.25">
      <c r="B24" s="113" t="s">
        <v>68</v>
      </c>
      <c r="C24" s="117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14"/>
    </row>
    <row r="25" spans="1:18" s="113" customFormat="1" x14ac:dyDescent="0.25">
      <c r="B25" s="113" t="s">
        <v>69</v>
      </c>
      <c r="C25" s="117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14"/>
    </row>
    <row r="26" spans="1:18" s="113" customFormat="1" x14ac:dyDescent="0.25">
      <c r="B26" s="113" t="s">
        <v>70</v>
      </c>
      <c r="C26" s="117"/>
      <c r="D26" s="98"/>
      <c r="E26" s="120">
        <f>Biz2bs!D10-Biz2bs!E10</f>
        <v>0</v>
      </c>
      <c r="F26" s="120">
        <f>Biz2bs!E10-Biz2bs!F10</f>
        <v>0</v>
      </c>
      <c r="G26" s="120">
        <f>Biz2bs!F10-Biz2bs!G10</f>
        <v>0</v>
      </c>
      <c r="H26" s="120">
        <f>Biz2bs!G10-Biz2bs!H10</f>
        <v>0</v>
      </c>
      <c r="I26" s="120">
        <f>Biz2bs!H10-Biz2bs!I10</f>
        <v>0</v>
      </c>
      <c r="J26" s="120">
        <f>Biz2bs!I10-Biz2bs!J10</f>
        <v>0</v>
      </c>
      <c r="K26" s="120">
        <f>Biz2bs!J10-Biz2bs!K10</f>
        <v>0</v>
      </c>
      <c r="L26" s="120">
        <f>Biz2bs!K10-Biz2bs!L10</f>
        <v>0</v>
      </c>
      <c r="M26" s="120">
        <f>Biz2bs!L10-Biz2bs!M10</f>
        <v>0</v>
      </c>
      <c r="N26" s="120">
        <f>Biz2bs!M10-Biz2bs!N10</f>
        <v>0</v>
      </c>
      <c r="O26" s="120">
        <f>Biz2bs!N10-Biz2bs!O10</f>
        <v>0</v>
      </c>
      <c r="P26" s="120">
        <f>Biz2bs!O10-Biz2bs!P10</f>
        <v>0</v>
      </c>
      <c r="Q26" s="120">
        <f>Biz2bs!P10-Biz2bs!Q10</f>
        <v>0</v>
      </c>
      <c r="R26" s="14"/>
    </row>
    <row r="27" spans="1:18" s="113" customFormat="1" x14ac:dyDescent="0.25">
      <c r="B27" s="113" t="s">
        <v>100</v>
      </c>
      <c r="C27" s="117"/>
      <c r="D27" s="98">
        <v>-4393</v>
      </c>
      <c r="E27" s="98">
        <v>-1080</v>
      </c>
      <c r="F27" s="98">
        <v>-1012</v>
      </c>
      <c r="G27" s="98">
        <v>-1805.5</v>
      </c>
      <c r="H27" s="98">
        <v>-1456</v>
      </c>
      <c r="I27" s="39">
        <f>$M27/4</f>
        <v>-500</v>
      </c>
      <c r="J27" s="39">
        <f t="shared" ref="J27:L27" si="1">$M27/4</f>
        <v>-500</v>
      </c>
      <c r="K27" s="39">
        <f t="shared" si="1"/>
        <v>-500</v>
      </c>
      <c r="L27" s="39">
        <f t="shared" si="1"/>
        <v>-500</v>
      </c>
      <c r="M27" s="120">
        <f>-Biz2drivers!D24</f>
        <v>-2000</v>
      </c>
      <c r="N27" s="120">
        <f>-Biz2drivers!E24</f>
        <v>-2500</v>
      </c>
      <c r="O27" s="120">
        <f>-Biz2drivers!F24</f>
        <v>-2500</v>
      </c>
      <c r="P27" s="120">
        <f>-Biz2drivers!G24</f>
        <v>-2500</v>
      </c>
      <c r="Q27" s="120">
        <f>-Biz2drivers!H24</f>
        <v>-2500</v>
      </c>
      <c r="R27" s="14"/>
    </row>
    <row r="28" spans="1:18" s="113" customFormat="1" x14ac:dyDescent="0.25">
      <c r="B28" s="113" t="s">
        <v>101</v>
      </c>
      <c r="C28" s="117"/>
      <c r="D28" s="98">
        <v>0</v>
      </c>
      <c r="E28" s="98">
        <v>0</v>
      </c>
      <c r="F28" s="98">
        <v>0</v>
      </c>
      <c r="G28" s="98">
        <v>0</v>
      </c>
      <c r="H28" s="98">
        <v>0</v>
      </c>
      <c r="I28" s="98">
        <v>0</v>
      </c>
      <c r="J28" s="98">
        <v>0</v>
      </c>
      <c r="K28" s="98">
        <v>0</v>
      </c>
      <c r="L28" s="98">
        <v>0</v>
      </c>
      <c r="M28" s="120">
        <f>-Biz2drivers!D25</f>
        <v>0</v>
      </c>
      <c r="N28" s="120">
        <f>-Biz2drivers!E25</f>
        <v>0</v>
      </c>
      <c r="O28" s="120">
        <f>-Biz2drivers!F25</f>
        <v>0</v>
      </c>
      <c r="P28" s="120">
        <f>-Biz2drivers!G25</f>
        <v>0</v>
      </c>
      <c r="Q28" s="120">
        <f>-Biz2drivers!H25</f>
        <v>0</v>
      </c>
      <c r="R28" s="14"/>
    </row>
    <row r="29" spans="1:18" s="119" customFormat="1" x14ac:dyDescent="0.25">
      <c r="A29" s="108" t="s">
        <v>72</v>
      </c>
      <c r="B29" s="113"/>
      <c r="C29" s="17"/>
      <c r="D29" s="120">
        <f t="shared" ref="D29:Q29" si="2">SUM(D22,D23,D24,D25,D26,D27,D28)</f>
        <v>-4393</v>
      </c>
      <c r="E29" s="120">
        <f t="shared" si="2"/>
        <v>-1080</v>
      </c>
      <c r="F29" s="120">
        <f t="shared" si="2"/>
        <v>-1012</v>
      </c>
      <c r="G29" s="120">
        <f t="shared" si="2"/>
        <v>-1805.5</v>
      </c>
      <c r="H29" s="120">
        <f t="shared" si="2"/>
        <v>-1456</v>
      </c>
      <c r="I29" s="120">
        <f t="shared" si="2"/>
        <v>-500</v>
      </c>
      <c r="J29" s="120">
        <f t="shared" si="2"/>
        <v>-500</v>
      </c>
      <c r="K29" s="120">
        <f t="shared" si="2"/>
        <v>-500</v>
      </c>
      <c r="L29" s="120">
        <f t="shared" si="2"/>
        <v>-500</v>
      </c>
      <c r="M29" s="120">
        <f t="shared" si="2"/>
        <v>-2000</v>
      </c>
      <c r="N29" s="120">
        <f t="shared" si="2"/>
        <v>-2500</v>
      </c>
      <c r="O29" s="120">
        <f t="shared" si="2"/>
        <v>-2500</v>
      </c>
      <c r="P29" s="120">
        <f t="shared" si="2"/>
        <v>-2500</v>
      </c>
      <c r="Q29" s="120">
        <f t="shared" si="2"/>
        <v>-2500</v>
      </c>
      <c r="R29" s="14"/>
    </row>
    <row r="30" spans="1:18" s="45" customFormat="1" x14ac:dyDescent="0.25">
      <c r="B30" s="44"/>
      <c r="C30" s="2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14"/>
    </row>
    <row r="31" spans="1:18" s="69" customFormat="1" x14ac:dyDescent="0.25">
      <c r="A31" s="68" t="s">
        <v>73</v>
      </c>
      <c r="B31" s="44"/>
      <c r="C31" s="2"/>
      <c r="D31" s="70"/>
      <c r="E31" s="70"/>
      <c r="F31" s="70"/>
      <c r="G31" s="71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14"/>
    </row>
    <row r="32" spans="1:18" s="69" customFormat="1" x14ac:dyDescent="0.25">
      <c r="B32" s="69" t="s">
        <v>74</v>
      </c>
      <c r="C32" s="79"/>
      <c r="D32" s="99"/>
      <c r="E32" s="82">
        <f>Biz2bs!E20-Biz2bs!D20</f>
        <v>0</v>
      </c>
      <c r="F32" s="82">
        <f>Biz2bs!F20-Biz2bs!E20</f>
        <v>2629.5790000000002</v>
      </c>
      <c r="G32" s="82">
        <f>Biz2bs!G20-Biz2bs!F20</f>
        <v>-4021.5790000000002</v>
      </c>
      <c r="H32" s="82">
        <f>Biz2bs!H20-Biz2bs!G20</f>
        <v>2527</v>
      </c>
      <c r="I32" s="99">
        <v>0</v>
      </c>
      <c r="J32" s="99">
        <f>Biz2bs!J20-Biz2bs!I20</f>
        <v>0</v>
      </c>
      <c r="K32" s="99">
        <f>Biz2bs!K20-Biz2bs!J20</f>
        <v>0</v>
      </c>
      <c r="L32" s="99">
        <f>Biz2bs!L20-Biz2bs!K20</f>
        <v>0</v>
      </c>
      <c r="M32" s="99">
        <f>Biz2bs!M20-Biz2bs!H20</f>
        <v>-1135</v>
      </c>
      <c r="N32" s="82">
        <f>Biz2bs!N20-Biz2bs!M20</f>
        <v>0</v>
      </c>
      <c r="O32" s="82">
        <f>Biz2bs!O20-Biz2bs!N20</f>
        <v>0</v>
      </c>
      <c r="P32" s="82">
        <f>Biz2bs!P20-Biz2bs!O20</f>
        <v>0</v>
      </c>
      <c r="Q32" s="82">
        <f>Biz2bs!Q20-Biz2bs!P20</f>
        <v>0</v>
      </c>
      <c r="R32" s="14"/>
    </row>
    <row r="33" spans="1:18" s="69" customFormat="1" x14ac:dyDescent="0.25">
      <c r="B33" s="69" t="s">
        <v>75</v>
      </c>
      <c r="C33" s="79"/>
      <c r="D33" s="99"/>
      <c r="E33" s="82">
        <f>Biz2bs!E25-Biz2bs!D25</f>
        <v>0</v>
      </c>
      <c r="F33" s="82">
        <f>Biz2bs!F25-Biz2bs!E25</f>
        <v>0</v>
      </c>
      <c r="G33" s="82">
        <f>Biz2bs!G25-Biz2bs!F25</f>
        <v>0</v>
      </c>
      <c r="H33" s="82">
        <f>Biz2bs!H25-Biz2bs!G25</f>
        <v>0</v>
      </c>
      <c r="I33" s="82">
        <f>Biz2bs!I25-Biz2bs!H25</f>
        <v>0</v>
      </c>
      <c r="J33" s="82">
        <f>Biz2bs!J25-Biz2bs!I25</f>
        <v>0</v>
      </c>
      <c r="K33" s="82">
        <f>Biz2bs!K25-Biz2bs!J25</f>
        <v>0</v>
      </c>
      <c r="L33" s="82">
        <f>Biz2bs!L25-Biz2bs!K25</f>
        <v>0</v>
      </c>
      <c r="M33" s="82">
        <f>Biz2bs!M25-Biz2bs!L25</f>
        <v>0</v>
      </c>
      <c r="N33" s="82">
        <f>Biz2bs!N25-Biz2bs!M25</f>
        <v>0</v>
      </c>
      <c r="O33" s="82">
        <f>Biz2bs!O25-Biz2bs!N25</f>
        <v>0</v>
      </c>
      <c r="P33" s="82">
        <f>Biz2bs!P25-Biz2bs!O25</f>
        <v>0</v>
      </c>
      <c r="Q33" s="82">
        <f>Biz2bs!Q25-Biz2bs!P25</f>
        <v>0</v>
      </c>
      <c r="R33" s="14"/>
    </row>
    <row r="34" spans="1:18" s="69" customFormat="1" x14ac:dyDescent="0.25">
      <c r="B34" s="69" t="s">
        <v>76</v>
      </c>
      <c r="C34" s="7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14"/>
    </row>
    <row r="35" spans="1:18" s="69" customFormat="1" x14ac:dyDescent="0.25">
      <c r="B35" s="69" t="s">
        <v>77</v>
      </c>
      <c r="C35" s="7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4"/>
    </row>
    <row r="36" spans="1:18" s="69" customFormat="1" x14ac:dyDescent="0.25">
      <c r="B36" s="69" t="s">
        <v>78</v>
      </c>
      <c r="C36" s="7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4"/>
    </row>
    <row r="37" spans="1:18" s="69" customFormat="1" x14ac:dyDescent="0.25">
      <c r="B37" s="69" t="s">
        <v>79</v>
      </c>
      <c r="C37" s="7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14"/>
    </row>
    <row r="38" spans="1:18" s="69" customFormat="1" x14ac:dyDescent="0.25">
      <c r="B38" s="69" t="s">
        <v>80</v>
      </c>
      <c r="C38" s="7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14"/>
    </row>
    <row r="39" spans="1:18" s="69" customFormat="1" x14ac:dyDescent="0.25">
      <c r="B39" s="69" t="s">
        <v>81</v>
      </c>
      <c r="C39" s="7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14"/>
    </row>
    <row r="40" spans="1:18" s="69" customFormat="1" x14ac:dyDescent="0.25">
      <c r="B40" s="69" t="s">
        <v>82</v>
      </c>
      <c r="C40" s="7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4"/>
    </row>
    <row r="41" spans="1:18" s="69" customFormat="1" x14ac:dyDescent="0.25">
      <c r="B41" s="69" t="s">
        <v>83</v>
      </c>
      <c r="C41" s="7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14"/>
    </row>
    <row r="42" spans="1:18" s="81" customFormat="1" x14ac:dyDescent="0.25">
      <c r="A42" s="68" t="s">
        <v>84</v>
      </c>
      <c r="B42" s="69"/>
      <c r="C42" s="17"/>
      <c r="D42" s="82">
        <f t="shared" ref="D42:Q42" si="3">SUM(D32,D33,D34,D35,D36,D37,D38,D39,D40,D41)</f>
        <v>0</v>
      </c>
      <c r="E42" s="82">
        <f t="shared" si="3"/>
        <v>0</v>
      </c>
      <c r="F42" s="82">
        <f t="shared" si="3"/>
        <v>2629.5790000000002</v>
      </c>
      <c r="G42" s="82">
        <f t="shared" si="3"/>
        <v>-4021.5790000000002</v>
      </c>
      <c r="H42" s="82">
        <f t="shared" si="3"/>
        <v>2527</v>
      </c>
      <c r="I42" s="82">
        <f t="shared" si="3"/>
        <v>0</v>
      </c>
      <c r="J42" s="82">
        <f t="shared" si="3"/>
        <v>0</v>
      </c>
      <c r="K42" s="82">
        <f t="shared" si="3"/>
        <v>0</v>
      </c>
      <c r="L42" s="82">
        <f t="shared" si="3"/>
        <v>0</v>
      </c>
      <c r="M42" s="82">
        <f t="shared" si="3"/>
        <v>-1135</v>
      </c>
      <c r="N42" s="82">
        <f t="shared" si="3"/>
        <v>0</v>
      </c>
      <c r="O42" s="82">
        <f t="shared" si="3"/>
        <v>0</v>
      </c>
      <c r="P42" s="82">
        <f t="shared" si="3"/>
        <v>0</v>
      </c>
      <c r="Q42" s="82">
        <f t="shared" si="3"/>
        <v>0</v>
      </c>
      <c r="R42" s="14"/>
    </row>
    <row r="43" spans="1:18" x14ac:dyDescent="0.25">
      <c r="C43"/>
      <c r="H43"/>
      <c r="M43"/>
      <c r="N43"/>
      <c r="O43"/>
      <c r="P43"/>
      <c r="Q43"/>
      <c r="R43" s="14"/>
    </row>
    <row r="44" spans="1:18" s="19" customFormat="1" x14ac:dyDescent="0.25">
      <c r="B44" s="14" t="s">
        <v>85</v>
      </c>
      <c r="C44" s="17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14"/>
    </row>
    <row r="45" spans="1:18" s="19" customFormat="1" x14ac:dyDescent="0.25">
      <c r="A45" s="31" t="s">
        <v>86</v>
      </c>
      <c r="B45" s="14"/>
      <c r="C45" s="17"/>
      <c r="D45" s="20">
        <f t="shared" ref="D45:Q45" si="4">D19+D29+D42+D44</f>
        <v>-7816.0640000000021</v>
      </c>
      <c r="E45" s="20">
        <f t="shared" si="4"/>
        <v>5508.7003342246971</v>
      </c>
      <c r="F45" s="20">
        <f t="shared" si="4"/>
        <v>2870.2279604235955</v>
      </c>
      <c r="G45" s="20">
        <f t="shared" si="4"/>
        <v>-6961.2583537996306</v>
      </c>
      <c r="H45" s="20">
        <f t="shared" si="4"/>
        <v>4511.8746089991346</v>
      </c>
      <c r="I45" s="20">
        <f t="shared" si="4"/>
        <v>67.915651865599216</v>
      </c>
      <c r="J45" s="20">
        <f t="shared" si="4"/>
        <v>67.915651865599216</v>
      </c>
      <c r="K45" s="20">
        <f t="shared" si="4"/>
        <v>67.915651865599216</v>
      </c>
      <c r="L45" s="20">
        <f t="shared" si="4"/>
        <v>67.915651865599216</v>
      </c>
      <c r="M45" s="20">
        <f t="shared" si="4"/>
        <v>-5528.3239725806689</v>
      </c>
      <c r="N45" s="20">
        <f t="shared" si="4"/>
        <v>1690.7113716062959</v>
      </c>
      <c r="O45" s="20">
        <f t="shared" si="4"/>
        <v>31.70658897668909</v>
      </c>
      <c r="P45" s="20">
        <f t="shared" si="4"/>
        <v>307.80880308454698</v>
      </c>
      <c r="Q45" s="20">
        <f t="shared" si="4"/>
        <v>-355.89233872427531</v>
      </c>
      <c r="R45" s="14"/>
    </row>
    <row r="46" spans="1:18" s="19" customFormat="1" x14ac:dyDescent="0.25">
      <c r="B46" s="14" t="s">
        <v>87</v>
      </c>
      <c r="C46" s="17"/>
      <c r="D46" s="39">
        <v>4984</v>
      </c>
      <c r="E46" s="20">
        <f>D47</f>
        <v>-2832.0640000000021</v>
      </c>
      <c r="F46" s="20">
        <f t="shared" ref="F46:G46" si="5">E47</f>
        <v>2676.636334224695</v>
      </c>
      <c r="G46" s="20">
        <f t="shared" si="5"/>
        <v>5546.8642946482905</v>
      </c>
      <c r="H46" s="20">
        <f>G47</f>
        <v>-1414.3940591513401</v>
      </c>
      <c r="I46" s="20">
        <f t="shared" ref="I46:N46" si="6">H47</f>
        <v>3097.4805498477945</v>
      </c>
      <c r="J46" s="20">
        <f t="shared" si="6"/>
        <v>3165.3962017133936</v>
      </c>
      <c r="K46" s="20">
        <f t="shared" si="6"/>
        <v>3233.3118535789927</v>
      </c>
      <c r="L46" s="20">
        <f t="shared" si="6"/>
        <v>3301.2275054445918</v>
      </c>
      <c r="M46" s="20">
        <f t="shared" si="6"/>
        <v>3369.1431573101909</v>
      </c>
      <c r="N46" s="20">
        <f t="shared" si="6"/>
        <v>-2159.180815270478</v>
      </c>
      <c r="O46" s="20">
        <f>N47</f>
        <v>-468.46944366418211</v>
      </c>
      <c r="P46" s="20">
        <f t="shared" ref="P46:Q46" si="7">O47</f>
        <v>-436.76285468749302</v>
      </c>
      <c r="Q46" s="20">
        <f t="shared" si="7"/>
        <v>-128.95405160294604</v>
      </c>
      <c r="R46" s="14"/>
    </row>
    <row r="47" spans="1:18" s="19" customFormat="1" x14ac:dyDescent="0.25">
      <c r="A47" s="31" t="s">
        <v>88</v>
      </c>
      <c r="B47" s="14"/>
      <c r="C47" s="17"/>
      <c r="D47" s="20">
        <f t="shared" ref="D47:Q47" si="8">D45+D46</f>
        <v>-2832.0640000000021</v>
      </c>
      <c r="E47" s="20">
        <f t="shared" si="8"/>
        <v>2676.636334224695</v>
      </c>
      <c r="F47" s="20">
        <f t="shared" si="8"/>
        <v>5546.8642946482905</v>
      </c>
      <c r="G47" s="20">
        <f t="shared" si="8"/>
        <v>-1414.3940591513401</v>
      </c>
      <c r="H47" s="20">
        <f t="shared" si="8"/>
        <v>3097.4805498477945</v>
      </c>
      <c r="I47" s="20">
        <f t="shared" si="8"/>
        <v>3165.3962017133936</v>
      </c>
      <c r="J47" s="20">
        <f t="shared" si="8"/>
        <v>3233.3118535789927</v>
      </c>
      <c r="K47" s="20">
        <f t="shared" si="8"/>
        <v>3301.2275054445918</v>
      </c>
      <c r="L47" s="20">
        <f t="shared" si="8"/>
        <v>3369.1431573101909</v>
      </c>
      <c r="M47" s="20">
        <f t="shared" si="8"/>
        <v>-2159.180815270478</v>
      </c>
      <c r="N47" s="20">
        <f t="shared" si="8"/>
        <v>-468.46944366418211</v>
      </c>
      <c r="O47" s="20">
        <f t="shared" si="8"/>
        <v>-436.76285468749302</v>
      </c>
      <c r="P47" s="20">
        <f t="shared" si="8"/>
        <v>-128.95405160294604</v>
      </c>
      <c r="Q47" s="20">
        <f t="shared" si="8"/>
        <v>-484.84639032722134</v>
      </c>
      <c r="R47" s="14"/>
    </row>
    <row r="48" spans="1:18" s="14" customFormat="1" x14ac:dyDescent="0.25"/>
    <row r="49" spans="1:18" s="449" customFormat="1" ht="9" collapsed="1" x14ac:dyDescent="0.15">
      <c r="A49" s="446" t="s">
        <v>55</v>
      </c>
      <c r="C49" s="89"/>
      <c r="D49" s="443">
        <f>Biz2bs!D5-D47</f>
        <v>2832.0640000000021</v>
      </c>
      <c r="E49" s="443">
        <f>Biz2bs!E5-E47</f>
        <v>4746.3680000000022</v>
      </c>
      <c r="F49" s="443">
        <f>Biz2bs!F5-F47</f>
        <v>6655.6700000000055</v>
      </c>
      <c r="G49" s="443">
        <f>Biz2bs!G5-G47</f>
        <v>8238.4310000000041</v>
      </c>
      <c r="H49" s="443">
        <f>Biz2bs!H5-H47</f>
        <v>10036.431000000006</v>
      </c>
      <c r="I49" s="443">
        <f>Biz2bs!I5-I47</f>
        <v>10446.431000000008</v>
      </c>
      <c r="J49" s="443">
        <f>Biz2bs!J5-J47</f>
        <v>10856.431000000008</v>
      </c>
      <c r="K49" s="443">
        <f>Biz2bs!K5-K47</f>
        <v>11266.431000000008</v>
      </c>
      <c r="L49" s="443">
        <f>Biz2bs!L5-L47</f>
        <v>11676.43100000001</v>
      </c>
      <c r="M49" s="443">
        <f>Biz2bs!M5-M47</f>
        <v>13316.43100000001</v>
      </c>
      <c r="N49" s="443">
        <f>Biz2bs!N5-N47</f>
        <v>14956.431000000006</v>
      </c>
      <c r="O49" s="443">
        <f>Biz2bs!O5-O47</f>
        <v>16801.431000000004</v>
      </c>
      <c r="P49" s="443">
        <f>Biz2bs!P5-P47</f>
        <v>18646.431</v>
      </c>
      <c r="Q49" s="443">
        <f>Biz2bs!Q5-Q47</f>
        <v>20491.431</v>
      </c>
      <c r="R49" s="450"/>
    </row>
    <row r="50" spans="1:18" s="14" customFormat="1" x14ac:dyDescent="0.25"/>
    <row r="51" spans="1:18" s="14" customFormat="1" x14ac:dyDescent="0.25"/>
    <row r="52" spans="1:18" s="14" customFormat="1" x14ac:dyDescent="0.25"/>
    <row r="53" spans="1:18" s="14" customFormat="1" x14ac:dyDescent="0.25">
      <c r="C53" s="2"/>
      <c r="H53" s="31"/>
      <c r="M53" s="31"/>
      <c r="N53" s="31"/>
      <c r="O53" s="31"/>
      <c r="P53" s="31"/>
      <c r="Q53" s="31"/>
    </row>
  </sheetData>
  <sheetProtection algorithmName="SHA-512" hashValue="dKTcLE6llkVYHofsePh0wMEnB8ei8hIhZD+jNXbyY9zwA9c2/IOXtzDE/FNt2x0rl1iZ7eJtJeKQ1mQP0oJJpA==" saltValue="cPY8QB0mLCB4f04xd5sA/g==" spinCount="100000" sheet="1" objects="1" scenarios="1"/>
  <conditionalFormatting sqref="C44:C47 C21:C42 C5:C19">
    <cfRule type="cellIs" dxfId="4" priority="5" operator="notEqual">
      <formula>0</formula>
    </cfRule>
  </conditionalFormatting>
  <conditionalFormatting sqref="D49:Q49">
    <cfRule type="cellIs" dxfId="3" priority="1" operator="notBetween">
      <formula>-1</formula>
      <formula>1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 tint="-0.34998626667073579"/>
  </sheetPr>
  <dimension ref="A1:AF39"/>
  <sheetViews>
    <sheetView zoomScale="85" zoomScaleNormal="85" workbookViewId="0">
      <pane xSplit="2" ySplit="4" topLeftCell="C11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5.7109375" customWidth="1"/>
    <col min="2" max="2" width="26.28515625" customWidth="1"/>
    <col min="3" max="3" width="2.85546875" customWidth="1"/>
    <col min="4" max="5" width="9" bestFit="1" customWidth="1"/>
    <col min="6" max="7" width="8.7109375" customWidth="1"/>
    <col min="8" max="8" width="8.7109375" style="36" customWidth="1"/>
    <col min="9" max="9" width="9" bestFit="1" customWidth="1"/>
    <col min="10" max="11" width="8" customWidth="1"/>
    <col min="12" max="12" width="8.28515625" bestFit="1" customWidth="1"/>
    <col min="13" max="15" width="8.7109375" style="36" customWidth="1"/>
    <col min="16" max="16" width="9" style="36" bestFit="1" customWidth="1"/>
    <col min="17" max="17" width="8.7109375" style="36" customWidth="1"/>
    <col min="18" max="18" width="9.42578125" customWidth="1"/>
  </cols>
  <sheetData>
    <row r="1" spans="1:32" x14ac:dyDescent="0.25">
      <c r="A1" s="429" t="s">
        <v>566</v>
      </c>
      <c r="H1"/>
      <c r="M1"/>
      <c r="N1"/>
      <c r="O1"/>
      <c r="P1"/>
      <c r="Q1"/>
      <c r="R1" s="14"/>
    </row>
    <row r="2" spans="1:32" ht="15.75" thickBot="1" x14ac:dyDescent="0.3">
      <c r="A2" s="429" t="s">
        <v>0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21" t="s">
        <v>443</v>
      </c>
    </row>
    <row r="3" spans="1:32" ht="15.75" thickBot="1" x14ac:dyDescent="0.3">
      <c r="C3" s="38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14"/>
    </row>
    <row r="4" spans="1:32" s="417" customFormat="1" x14ac:dyDescent="0.25">
      <c r="D4" s="418"/>
      <c r="E4" s="418"/>
      <c r="F4" s="418"/>
      <c r="G4" s="427" t="s">
        <v>474</v>
      </c>
      <c r="H4" s="419">
        <f t="shared" ref="H4:Q4" ca="1" si="0">(H3-NOW())/365</f>
        <v>-3.8153087176560154</v>
      </c>
      <c r="I4" s="419">
        <f t="shared" ca="1" si="0"/>
        <v>-5.9002402245053309</v>
      </c>
      <c r="J4" s="419">
        <f t="shared" ca="1" si="0"/>
        <v>-5.6536648820395774</v>
      </c>
      <c r="K4" s="419">
        <f t="shared" ca="1" si="0"/>
        <v>-5.4016100875190292</v>
      </c>
      <c r="L4" s="419">
        <f t="shared" ca="1" si="0"/>
        <v>-5.1495552929984809</v>
      </c>
      <c r="M4" s="419">
        <f t="shared" ca="1" si="0"/>
        <v>-2.8153087176560154</v>
      </c>
      <c r="N4" s="419">
        <f t="shared" ca="1" si="0"/>
        <v>-1.8125689916286183</v>
      </c>
      <c r="O4" s="419">
        <f t="shared" ca="1" si="0"/>
        <v>-0.81256899162861818</v>
      </c>
      <c r="P4" s="419">
        <f t="shared" ca="1" si="0"/>
        <v>0.1874310083713818</v>
      </c>
      <c r="Q4" s="419">
        <f t="shared" ca="1" si="0"/>
        <v>1.1874310083713817</v>
      </c>
      <c r="R4" s="419">
        <f ca="1">IF(COUNT($P4:Q4)-2&lt;$D$29,Q4+1,0)</f>
        <v>2.1874310083713819</v>
      </c>
      <c r="S4" s="419">
        <f ca="1">IF(COUNT($P4:R4)-2&lt;$D$29,R4+1,0)</f>
        <v>3.1874310083713819</v>
      </c>
      <c r="T4" s="419">
        <f ca="1">IF(COUNT($P4:S4)-2&lt;$D$29,S4+1,0)</f>
        <v>4.1874310083713819</v>
      </c>
      <c r="U4" s="419">
        <f ca="1">IF(COUNT($P4:T4)-2&lt;$D$29,T4+1,0)</f>
        <v>5.1874310083713819</v>
      </c>
      <c r="V4" s="419">
        <f ca="1">IF(COUNT($P4:U4)-2&lt;$D$29,U4+1,0)</f>
        <v>6.1874310083713819</v>
      </c>
      <c r="W4" s="419">
        <f ca="1">IF(COUNT($P4:V4)-2&lt;$D$29,V4+1,0)</f>
        <v>7.1874310083713819</v>
      </c>
      <c r="X4" s="419">
        <f ca="1">IF(COUNT($P4:W4)-2&lt;$D$29,W4+1,0)</f>
        <v>8.1874310083713819</v>
      </c>
      <c r="Y4" s="419">
        <f ca="1">IF(COUNT($P4:X4)-2&lt;$D$29,X4+1,0)</f>
        <v>9.1874310083713819</v>
      </c>
      <c r="Z4" s="419">
        <f ca="1">IF(COUNT($P4:Y4)-2&lt;$D$29,Y4+1,0)</f>
        <v>10.187431008371382</v>
      </c>
      <c r="AA4" s="419">
        <f ca="1">IF(COUNT($P4:Z4)-2&lt;$D$29,Z4+1,0)</f>
        <v>11.187431008371382</v>
      </c>
      <c r="AB4" s="420"/>
      <c r="AC4" s="420"/>
      <c r="AD4" s="420"/>
      <c r="AE4" s="420"/>
      <c r="AF4" s="420"/>
    </row>
    <row r="5" spans="1:32" s="14" customFormat="1" x14ac:dyDescent="0.25">
      <c r="A5" s="14" t="s">
        <v>2</v>
      </c>
      <c r="D5" s="39">
        <v>644</v>
      </c>
      <c r="E5" s="39">
        <v>1095</v>
      </c>
      <c r="F5" s="39">
        <v>893</v>
      </c>
      <c r="G5" s="39">
        <v>600</v>
      </c>
      <c r="H5" s="39">
        <v>316.24118841497773</v>
      </c>
      <c r="I5" s="39">
        <f>$M5/4</f>
        <v>123.0526388675615</v>
      </c>
      <c r="J5" s="39">
        <f t="shared" ref="J5:L5" si="1">$M5/4</f>
        <v>123.0526388675615</v>
      </c>
      <c r="K5" s="39">
        <f t="shared" si="1"/>
        <v>123.0526388675615</v>
      </c>
      <c r="L5" s="39">
        <f t="shared" si="1"/>
        <v>123.0526388675615</v>
      </c>
      <c r="M5" s="39">
        <v>492.21055547024599</v>
      </c>
      <c r="N5" s="39">
        <v>555.04769752674724</v>
      </c>
      <c r="O5" s="39">
        <v>813.84962675811391</v>
      </c>
      <c r="P5" s="39">
        <v>813.84962675811391</v>
      </c>
      <c r="Q5" s="39">
        <v>813.84962675811391</v>
      </c>
    </row>
    <row r="6" spans="1:32" s="14" customFormat="1" x14ac:dyDescent="0.25">
      <c r="B6" s="14" t="s">
        <v>3</v>
      </c>
      <c r="D6" s="39">
        <v>-394.5</v>
      </c>
      <c r="E6" s="39">
        <v>-438</v>
      </c>
      <c r="F6" s="39">
        <v>-437</v>
      </c>
      <c r="G6" s="39">
        <v>-491</v>
      </c>
      <c r="H6" s="39">
        <v>-282</v>
      </c>
      <c r="I6" s="39">
        <f>$M6/4</f>
        <v>0</v>
      </c>
      <c r="J6" s="39">
        <f t="shared" ref="J6:L6" si="2">$M6/4</f>
        <v>0</v>
      </c>
      <c r="K6" s="39">
        <f t="shared" si="2"/>
        <v>0</v>
      </c>
      <c r="L6" s="39">
        <f t="shared" si="2"/>
        <v>0</v>
      </c>
      <c r="M6" s="39">
        <v>0</v>
      </c>
      <c r="N6" s="39">
        <v>0</v>
      </c>
      <c r="O6" s="39">
        <v>0</v>
      </c>
      <c r="P6" s="39">
        <v>0</v>
      </c>
      <c r="Q6" s="39">
        <v>0</v>
      </c>
    </row>
    <row r="7" spans="1:32" s="14" customFormat="1" x14ac:dyDescent="0.25">
      <c r="A7" s="14" t="s">
        <v>4</v>
      </c>
      <c r="D7" s="35">
        <f t="shared" ref="D7:Q7" si="3">D5-D6</f>
        <v>1038.5</v>
      </c>
      <c r="E7" s="35">
        <f t="shared" si="3"/>
        <v>1533</v>
      </c>
      <c r="F7" s="35">
        <f t="shared" si="3"/>
        <v>1330</v>
      </c>
      <c r="G7" s="35">
        <f t="shared" si="3"/>
        <v>1091</v>
      </c>
      <c r="H7" s="35">
        <f t="shared" si="3"/>
        <v>598.24118841497773</v>
      </c>
      <c r="I7" s="35">
        <f t="shared" si="3"/>
        <v>123.0526388675615</v>
      </c>
      <c r="J7" s="35">
        <f t="shared" si="3"/>
        <v>123.0526388675615</v>
      </c>
      <c r="K7" s="35">
        <f t="shared" si="3"/>
        <v>123.0526388675615</v>
      </c>
      <c r="L7" s="35">
        <f t="shared" si="3"/>
        <v>123.0526388675615</v>
      </c>
      <c r="M7" s="35">
        <f t="shared" si="3"/>
        <v>492.21055547024599</v>
      </c>
      <c r="N7" s="35">
        <f t="shared" si="3"/>
        <v>555.04769752674724</v>
      </c>
      <c r="O7" s="35">
        <f t="shared" si="3"/>
        <v>813.84962675811391</v>
      </c>
      <c r="P7" s="35">
        <f t="shared" si="3"/>
        <v>813.84962675811391</v>
      </c>
      <c r="Q7" s="35">
        <f t="shared" si="3"/>
        <v>813.84962675811391</v>
      </c>
    </row>
    <row r="8" spans="1:32" s="41" customFormat="1" x14ac:dyDescent="0.25">
      <c r="A8" s="41" t="s">
        <v>5</v>
      </c>
      <c r="D8" s="42">
        <f t="shared" ref="D8:Q8" si="4">IF(ISERROR(D7/D5),0,D7/D5)</f>
        <v>1.6125776397515528</v>
      </c>
      <c r="E8" s="42">
        <f t="shared" si="4"/>
        <v>1.4</v>
      </c>
      <c r="F8" s="42">
        <f t="shared" si="4"/>
        <v>1.4893617021276595</v>
      </c>
      <c r="G8" s="42">
        <f t="shared" si="4"/>
        <v>1.8183333333333334</v>
      </c>
      <c r="H8" s="42">
        <f t="shared" si="4"/>
        <v>1.8917244506112665</v>
      </c>
      <c r="I8" s="42">
        <f t="shared" si="4"/>
        <v>1</v>
      </c>
      <c r="J8" s="42">
        <f t="shared" si="4"/>
        <v>1</v>
      </c>
      <c r="K8" s="42">
        <f t="shared" si="4"/>
        <v>1</v>
      </c>
      <c r="L8" s="42">
        <f t="shared" si="4"/>
        <v>1</v>
      </c>
      <c r="M8" s="42">
        <f t="shared" si="4"/>
        <v>1</v>
      </c>
      <c r="N8" s="42">
        <f t="shared" si="4"/>
        <v>1</v>
      </c>
      <c r="O8" s="42">
        <f t="shared" si="4"/>
        <v>1</v>
      </c>
      <c r="P8" s="42">
        <f t="shared" si="4"/>
        <v>1</v>
      </c>
      <c r="Q8" s="42">
        <f t="shared" si="4"/>
        <v>1</v>
      </c>
      <c r="R8" s="14"/>
    </row>
    <row r="9" spans="1:32" s="14" customFormat="1" x14ac:dyDescent="0.25">
      <c r="B9" s="14" t="s">
        <v>6</v>
      </c>
      <c r="D9" s="39">
        <v>32147.820999999996</v>
      </c>
      <c r="E9" s="39">
        <v>31168.951000000001</v>
      </c>
      <c r="F9" s="39">
        <v>33441.313999999998</v>
      </c>
      <c r="G9" s="39">
        <v>27037.781999999999</v>
      </c>
      <c r="H9" s="39">
        <v>30911.162000000004</v>
      </c>
      <c r="I9" s="39">
        <f>$M9/4</f>
        <v>9314.7066410000007</v>
      </c>
      <c r="J9" s="39">
        <f t="shared" ref="J9:L9" si="5">$M9/4</f>
        <v>9314.7066410000007</v>
      </c>
      <c r="K9" s="39">
        <f t="shared" si="5"/>
        <v>9314.7066410000007</v>
      </c>
      <c r="L9" s="39">
        <f t="shared" si="5"/>
        <v>9314.7066410000007</v>
      </c>
      <c r="M9" s="39">
        <v>37258.826564000003</v>
      </c>
      <c r="N9" s="39">
        <v>40279.14367007</v>
      </c>
      <c r="O9" s="39">
        <v>42279.58975168741</v>
      </c>
      <c r="P9" s="39">
        <v>42279.58975168741</v>
      </c>
      <c r="Q9" s="39">
        <v>42279.58975168741</v>
      </c>
    </row>
    <row r="10" spans="1:32" s="14" customFormat="1" x14ac:dyDescent="0.25">
      <c r="A10" s="14" t="s">
        <v>16</v>
      </c>
      <c r="D10" s="35">
        <f>D7-D9</f>
        <v>-31109.320999999996</v>
      </c>
      <c r="E10" s="35">
        <f t="shared" ref="E10:Q10" si="6">E7-E9</f>
        <v>-29635.951000000001</v>
      </c>
      <c r="F10" s="35">
        <f t="shared" si="6"/>
        <v>-32111.313999999998</v>
      </c>
      <c r="G10" s="35">
        <f t="shared" si="6"/>
        <v>-25946.781999999999</v>
      </c>
      <c r="H10" s="35">
        <f t="shared" si="6"/>
        <v>-30312.920811585027</v>
      </c>
      <c r="I10" s="35">
        <f t="shared" si="6"/>
        <v>-9191.6540021324399</v>
      </c>
      <c r="J10" s="35">
        <f t="shared" si="6"/>
        <v>-9191.6540021324399</v>
      </c>
      <c r="K10" s="35">
        <f t="shared" si="6"/>
        <v>-9191.6540021324399</v>
      </c>
      <c r="L10" s="35">
        <f t="shared" si="6"/>
        <v>-9191.6540021324399</v>
      </c>
      <c r="M10" s="35">
        <f t="shared" si="6"/>
        <v>-36766.61600852976</v>
      </c>
      <c r="N10" s="35">
        <f t="shared" si="6"/>
        <v>-39724.095972543255</v>
      </c>
      <c r="O10" s="35">
        <f t="shared" si="6"/>
        <v>-41465.740124929296</v>
      </c>
      <c r="P10" s="35">
        <f t="shared" si="6"/>
        <v>-41465.740124929296</v>
      </c>
      <c r="Q10" s="35">
        <f t="shared" si="6"/>
        <v>-41465.740124929296</v>
      </c>
    </row>
    <row r="11" spans="1:32" s="14" customFormat="1" x14ac:dyDescent="0.25">
      <c r="B11" s="14" t="s">
        <v>8</v>
      </c>
      <c r="D11" s="39">
        <v>2302</v>
      </c>
      <c r="E11" s="39">
        <v>55667</v>
      </c>
      <c r="F11" s="39">
        <v>-11870.047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</row>
    <row r="12" spans="1:32" s="14" customFormat="1" x14ac:dyDescent="0.25">
      <c r="B12" s="14" t="s">
        <v>15</v>
      </c>
      <c r="D12" s="39">
        <v>668</v>
      </c>
      <c r="E12" s="39">
        <v>1543.7950000000001</v>
      </c>
      <c r="F12" s="39">
        <v>2062.8220000000001</v>
      </c>
      <c r="G12" s="39">
        <v>2678.2780000000002</v>
      </c>
      <c r="H12" s="39">
        <v>2906</v>
      </c>
      <c r="I12" s="39">
        <v>2750</v>
      </c>
      <c r="J12" s="39">
        <v>2750</v>
      </c>
      <c r="K12" s="39">
        <v>2750</v>
      </c>
      <c r="L12" s="39">
        <v>2750</v>
      </c>
      <c r="M12" s="39">
        <v>2750</v>
      </c>
      <c r="N12" s="39">
        <v>2500</v>
      </c>
      <c r="O12" s="39">
        <v>2000</v>
      </c>
      <c r="P12" s="39">
        <v>2000</v>
      </c>
      <c r="Q12" s="39">
        <v>2000</v>
      </c>
    </row>
    <row r="13" spans="1:32" s="14" customFormat="1" x14ac:dyDescent="0.25">
      <c r="A13" s="14" t="s">
        <v>17</v>
      </c>
      <c r="D13" s="35">
        <f>D10-D11-D12</f>
        <v>-34079.320999999996</v>
      </c>
      <c r="E13" s="35">
        <f t="shared" ref="E13:Q13" si="7">E10-E11-E12</f>
        <v>-86846.745999999999</v>
      </c>
      <c r="F13" s="35">
        <f t="shared" si="7"/>
        <v>-22304.089</v>
      </c>
      <c r="G13" s="35">
        <f t="shared" si="7"/>
        <v>-28625.059999999998</v>
      </c>
      <c r="H13" s="35">
        <f t="shared" si="7"/>
        <v>-33218.920811585027</v>
      </c>
      <c r="I13" s="35">
        <f t="shared" si="7"/>
        <v>-11941.65400213244</v>
      </c>
      <c r="J13" s="35">
        <f t="shared" si="7"/>
        <v>-11941.65400213244</v>
      </c>
      <c r="K13" s="35">
        <f t="shared" si="7"/>
        <v>-11941.65400213244</v>
      </c>
      <c r="L13" s="35">
        <f t="shared" si="7"/>
        <v>-11941.65400213244</v>
      </c>
      <c r="M13" s="35">
        <f t="shared" si="7"/>
        <v>-39516.61600852976</v>
      </c>
      <c r="N13" s="35">
        <f t="shared" si="7"/>
        <v>-42224.095972543255</v>
      </c>
      <c r="O13" s="35">
        <f t="shared" si="7"/>
        <v>-43465.740124929296</v>
      </c>
      <c r="P13" s="35">
        <f t="shared" si="7"/>
        <v>-43465.740124929296</v>
      </c>
      <c r="Q13" s="35">
        <f t="shared" si="7"/>
        <v>-43465.740124929296</v>
      </c>
    </row>
    <row r="14" spans="1:32" s="14" customFormat="1" x14ac:dyDescent="0.25">
      <c r="B14" s="14" t="s">
        <v>7</v>
      </c>
      <c r="D14" s="35">
        <f>SUM(Debt!D25:D26)</f>
        <v>31592.244999999999</v>
      </c>
      <c r="E14" s="35">
        <f>SUM(Debt!E25:E26)</f>
        <v>32788.678</v>
      </c>
      <c r="F14" s="35">
        <f>SUM(Debt!F25:F26)</f>
        <v>35255</v>
      </c>
      <c r="G14" s="35">
        <f>SUM(Debt!G25:G26)</f>
        <v>22451.181</v>
      </c>
      <c r="H14" s="35">
        <f>SUM(Debt!H25:H26)</f>
        <v>20026.546875</v>
      </c>
      <c r="I14" s="35">
        <f>SUM(Debt!I25:I26)</f>
        <v>4920.3125</v>
      </c>
      <c r="J14" s="35">
        <f>SUM(Debt!J25:J26)</f>
        <v>4920.3125</v>
      </c>
      <c r="K14" s="35">
        <f>SUM(Debt!K25:K26)</f>
        <v>4920.3125</v>
      </c>
      <c r="L14" s="35">
        <f>SUM(Debt!L25:L26)</f>
        <v>4920.3125</v>
      </c>
      <c r="M14" s="35">
        <f>SUM(Debt!M25:M26)</f>
        <v>19681.25</v>
      </c>
      <c r="N14" s="35">
        <f>SUM(Debt!N25:N26)</f>
        <v>19681.25</v>
      </c>
      <c r="O14" s="35">
        <f>SUM(Debt!O25:O26)</f>
        <v>19681.25</v>
      </c>
      <c r="P14" s="35">
        <f>SUM(Debt!P25:P26)</f>
        <v>19681.25</v>
      </c>
      <c r="Q14" s="35">
        <f>SUM(Debt!Q25:Q26)</f>
        <v>19681.25</v>
      </c>
    </row>
    <row r="15" spans="1:32" s="14" customFormat="1" x14ac:dyDescent="0.25">
      <c r="A15" s="14" t="s">
        <v>9</v>
      </c>
      <c r="D15" s="35">
        <f>D13-D14</f>
        <v>-65671.565999999992</v>
      </c>
      <c r="E15" s="35">
        <f t="shared" ref="E15:Q15" si="8">E13-E14</f>
        <v>-119635.424</v>
      </c>
      <c r="F15" s="35">
        <f t="shared" si="8"/>
        <v>-57559.089</v>
      </c>
      <c r="G15" s="35">
        <f t="shared" si="8"/>
        <v>-51076.240999999995</v>
      </c>
      <c r="H15" s="35">
        <f t="shared" si="8"/>
        <v>-53245.467686585027</v>
      </c>
      <c r="I15" s="35">
        <f t="shared" si="8"/>
        <v>-16861.96650213244</v>
      </c>
      <c r="J15" s="35">
        <f t="shared" si="8"/>
        <v>-16861.96650213244</v>
      </c>
      <c r="K15" s="35">
        <f t="shared" si="8"/>
        <v>-16861.96650213244</v>
      </c>
      <c r="L15" s="35">
        <f t="shared" si="8"/>
        <v>-16861.96650213244</v>
      </c>
      <c r="M15" s="35">
        <f t="shared" si="8"/>
        <v>-59197.86600852976</v>
      </c>
      <c r="N15" s="35">
        <f t="shared" si="8"/>
        <v>-61905.345972543255</v>
      </c>
      <c r="O15" s="35">
        <f t="shared" si="8"/>
        <v>-63146.990124929296</v>
      </c>
      <c r="P15" s="35">
        <f t="shared" si="8"/>
        <v>-63146.990124929296</v>
      </c>
      <c r="Q15" s="35">
        <f t="shared" si="8"/>
        <v>-63146.990124929296</v>
      </c>
    </row>
    <row r="16" spans="1:32" s="14" customFormat="1" x14ac:dyDescent="0.25">
      <c r="B16" s="14" t="s">
        <v>10</v>
      </c>
      <c r="D16" s="39">
        <v>-27678.256000000001</v>
      </c>
      <c r="E16" s="39">
        <v>-30649.453000000001</v>
      </c>
      <c r="F16" s="39">
        <v>-25874</v>
      </c>
      <c r="G16" s="39">
        <v>-21570.651000000002</v>
      </c>
      <c r="H16" s="39">
        <v>-22972.969274634012</v>
      </c>
      <c r="I16" s="35">
        <f t="shared" ref="I16:L16" si="9">I15*$D$28</f>
        <v>-6744.7866008529763</v>
      </c>
      <c r="J16" s="35">
        <f t="shared" si="9"/>
        <v>-6744.7866008529763</v>
      </c>
      <c r="K16" s="35">
        <f t="shared" si="9"/>
        <v>-6744.7866008529763</v>
      </c>
      <c r="L16" s="35">
        <f t="shared" si="9"/>
        <v>-6744.7866008529763</v>
      </c>
      <c r="M16" s="35">
        <f t="shared" ref="M16:N16" si="10">M15*$D$28</f>
        <v>-23679.146403411905</v>
      </c>
      <c r="N16" s="35">
        <f t="shared" si="10"/>
        <v>-24762.138389017302</v>
      </c>
      <c r="O16" s="35">
        <f>O15*$D$28</f>
        <v>-25258.796049971719</v>
      </c>
      <c r="P16" s="35">
        <f t="shared" ref="P16:Q16" si="11">P15*$D$28</f>
        <v>-25258.796049971719</v>
      </c>
      <c r="Q16" s="35">
        <f t="shared" si="11"/>
        <v>-25258.796049971719</v>
      </c>
    </row>
    <row r="17" spans="1:27" s="14" customFormat="1" x14ac:dyDescent="0.25">
      <c r="A17" s="14" t="s">
        <v>11</v>
      </c>
      <c r="D17" s="35">
        <f t="shared" ref="D17:Q17" si="12">D15-D16</f>
        <v>-37993.30999999999</v>
      </c>
      <c r="E17" s="35">
        <f t="shared" si="12"/>
        <v>-88985.97099999999</v>
      </c>
      <c r="F17" s="35">
        <f t="shared" si="12"/>
        <v>-31685.089</v>
      </c>
      <c r="G17" s="35">
        <f t="shared" si="12"/>
        <v>-29505.589999999993</v>
      </c>
      <c r="H17" s="35">
        <f t="shared" si="12"/>
        <v>-30272.498411951015</v>
      </c>
      <c r="I17" s="35">
        <f t="shared" si="12"/>
        <v>-10117.179901279464</v>
      </c>
      <c r="J17" s="35">
        <f t="shared" si="12"/>
        <v>-10117.179901279464</v>
      </c>
      <c r="K17" s="35">
        <f t="shared" si="12"/>
        <v>-10117.179901279464</v>
      </c>
      <c r="L17" s="35">
        <f t="shared" si="12"/>
        <v>-10117.179901279464</v>
      </c>
      <c r="M17" s="35">
        <f t="shared" si="12"/>
        <v>-35518.719605117854</v>
      </c>
      <c r="N17" s="35">
        <f t="shared" si="12"/>
        <v>-37143.207583525953</v>
      </c>
      <c r="O17" s="35">
        <f t="shared" si="12"/>
        <v>-37888.194074957573</v>
      </c>
      <c r="P17" s="35">
        <f t="shared" si="12"/>
        <v>-37888.194074957573</v>
      </c>
      <c r="Q17" s="35">
        <f t="shared" si="12"/>
        <v>-37888.194074957573</v>
      </c>
    </row>
    <row r="18" spans="1:27" s="14" customFormat="1" x14ac:dyDescent="0.25">
      <c r="B18" s="14" t="s">
        <v>12</v>
      </c>
      <c r="D18" s="39">
        <v>0</v>
      </c>
      <c r="E18" s="39">
        <v>0</v>
      </c>
      <c r="F18" s="39">
        <v>46.234999999999999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/>
      <c r="Q18" s="39"/>
    </row>
    <row r="19" spans="1:27" s="14" customFormat="1" x14ac:dyDescent="0.25">
      <c r="A19" s="14" t="s">
        <v>627</v>
      </c>
      <c r="D19" s="35">
        <f t="shared" ref="D19:Q19" si="13">D17+D18</f>
        <v>-37993.30999999999</v>
      </c>
      <c r="E19" s="35">
        <f t="shared" si="13"/>
        <v>-88985.97099999999</v>
      </c>
      <c r="F19" s="35">
        <f t="shared" si="13"/>
        <v>-31638.853999999999</v>
      </c>
      <c r="G19" s="35">
        <f t="shared" si="13"/>
        <v>-29505.589999999993</v>
      </c>
      <c r="H19" s="35">
        <f t="shared" si="13"/>
        <v>-30272.498411951015</v>
      </c>
      <c r="I19" s="35">
        <f t="shared" si="13"/>
        <v>-10117.179901279464</v>
      </c>
      <c r="J19" s="35">
        <f t="shared" si="13"/>
        <v>-10117.179901279464</v>
      </c>
      <c r="K19" s="35">
        <f t="shared" si="13"/>
        <v>-10117.179901279464</v>
      </c>
      <c r="L19" s="35">
        <f t="shared" si="13"/>
        <v>-10117.179901279464</v>
      </c>
      <c r="M19" s="35">
        <f t="shared" si="13"/>
        <v>-35518.719605117854</v>
      </c>
      <c r="N19" s="35">
        <f t="shared" si="13"/>
        <v>-37143.207583525953</v>
      </c>
      <c r="O19" s="35">
        <f t="shared" si="13"/>
        <v>-37888.194074957573</v>
      </c>
      <c r="P19" s="35">
        <f t="shared" si="13"/>
        <v>-37888.194074957573</v>
      </c>
      <c r="Q19" s="35">
        <f t="shared" si="13"/>
        <v>-37888.194074957573</v>
      </c>
    </row>
    <row r="20" spans="1:27" s="14" customFormat="1" x14ac:dyDescent="0.25">
      <c r="B20" s="14" t="s">
        <v>14</v>
      </c>
      <c r="D20" s="39"/>
      <c r="E20" s="39"/>
      <c r="F20" s="39"/>
      <c r="G20" s="39"/>
      <c r="H20" s="39"/>
      <c r="I20" s="40"/>
      <c r="J20" s="40"/>
      <c r="K20" s="40"/>
      <c r="L20" s="40"/>
      <c r="M20" s="39"/>
      <c r="N20" s="39"/>
      <c r="O20" s="39"/>
      <c r="P20" s="39"/>
      <c r="Q20" s="39"/>
    </row>
    <row r="21" spans="1:27" s="14" customFormat="1" x14ac:dyDescent="0.25">
      <c r="A21" s="14" t="s">
        <v>13</v>
      </c>
      <c r="D21" s="35">
        <f t="shared" ref="D21:Q21" si="14">D19+D20</f>
        <v>-37993.30999999999</v>
      </c>
      <c r="E21" s="35">
        <f t="shared" si="14"/>
        <v>-88985.97099999999</v>
      </c>
      <c r="F21" s="35">
        <f t="shared" si="14"/>
        <v>-31638.853999999999</v>
      </c>
      <c r="G21" s="35">
        <f t="shared" si="14"/>
        <v>-29505.589999999993</v>
      </c>
      <c r="H21" s="35">
        <f t="shared" si="14"/>
        <v>-30272.498411951015</v>
      </c>
      <c r="I21" s="35">
        <f t="shared" si="14"/>
        <v>-10117.179901279464</v>
      </c>
      <c r="J21" s="35">
        <f t="shared" si="14"/>
        <v>-10117.179901279464</v>
      </c>
      <c r="K21" s="35">
        <f t="shared" si="14"/>
        <v>-10117.179901279464</v>
      </c>
      <c r="L21" s="35">
        <f t="shared" si="14"/>
        <v>-10117.179901279464</v>
      </c>
      <c r="M21" s="35">
        <f t="shared" si="14"/>
        <v>-35518.719605117854</v>
      </c>
      <c r="N21" s="35">
        <f t="shared" si="14"/>
        <v>-37143.207583525953</v>
      </c>
      <c r="O21" s="35">
        <f t="shared" si="14"/>
        <v>-37888.194074957573</v>
      </c>
      <c r="P21" s="35">
        <f t="shared" si="14"/>
        <v>-37888.194074957573</v>
      </c>
      <c r="Q21" s="35">
        <f t="shared" si="14"/>
        <v>-37888.194074957573</v>
      </c>
    </row>
    <row r="22" spans="1:27" s="14" customFormat="1" x14ac:dyDescent="0.25">
      <c r="A22" s="14" t="s">
        <v>18</v>
      </c>
      <c r="D22" s="35">
        <f t="shared" ref="D22:Q22" si="15">D13-D16</f>
        <v>-6401.0649999999951</v>
      </c>
      <c r="E22" s="35">
        <f t="shared" si="15"/>
        <v>-56197.292999999998</v>
      </c>
      <c r="F22" s="35">
        <f t="shared" si="15"/>
        <v>3569.9110000000001</v>
      </c>
      <c r="G22" s="35">
        <f t="shared" si="15"/>
        <v>-7054.408999999996</v>
      </c>
      <c r="H22" s="35">
        <f t="shared" si="15"/>
        <v>-10245.951536951015</v>
      </c>
      <c r="I22" s="35">
        <f t="shared" si="15"/>
        <v>-5196.8674012794636</v>
      </c>
      <c r="J22" s="35">
        <f t="shared" si="15"/>
        <v>-5196.8674012794636</v>
      </c>
      <c r="K22" s="35">
        <f t="shared" si="15"/>
        <v>-5196.8674012794636</v>
      </c>
      <c r="L22" s="35">
        <f t="shared" si="15"/>
        <v>-5196.8674012794636</v>
      </c>
      <c r="M22" s="35">
        <f t="shared" si="15"/>
        <v>-15837.469605117854</v>
      </c>
      <c r="N22" s="35">
        <f t="shared" si="15"/>
        <v>-17461.957583525953</v>
      </c>
      <c r="O22" s="35">
        <f t="shared" si="15"/>
        <v>-18206.944074957577</v>
      </c>
      <c r="P22" s="35">
        <f t="shared" si="15"/>
        <v>-18206.944074957577</v>
      </c>
      <c r="Q22" s="35">
        <f t="shared" si="15"/>
        <v>-18206.944074957577</v>
      </c>
    </row>
    <row r="23" spans="1:27" s="14" customFormat="1" x14ac:dyDescent="0.25">
      <c r="B23" s="14" t="s">
        <v>19</v>
      </c>
      <c r="D23" s="35">
        <f>SUM(CORPcf!D27:D28)</f>
        <v>-2379</v>
      </c>
      <c r="E23" s="35">
        <f>SUM(CORPcf!E27:E28)</f>
        <v>-2698</v>
      </c>
      <c r="F23" s="35">
        <f>SUM(CORPcf!F27:F28)</f>
        <v>-3645</v>
      </c>
      <c r="G23" s="35">
        <f>SUM(CORPcf!G27:G28)</f>
        <v>-1499.5</v>
      </c>
      <c r="H23" s="35">
        <f>SUM(CORPcf!H27:H28)</f>
        <v>-1500</v>
      </c>
      <c r="I23" s="35">
        <f>-SUM(CORPcf!I27:I28)</f>
        <v>0</v>
      </c>
      <c r="J23" s="35">
        <f>-SUM(CORPcf!J27:J28)</f>
        <v>0</v>
      </c>
      <c r="K23" s="35">
        <f>-SUM(CORPcf!K27:K28)</f>
        <v>0</v>
      </c>
      <c r="L23" s="35">
        <f>-SUM(CORPcf!L27:L28)</f>
        <v>0</v>
      </c>
      <c r="M23" s="35">
        <f>SUM(CORPcf!M27:M28)</f>
        <v>-1500</v>
      </c>
      <c r="N23" s="35">
        <f>SUM(CORPcf!N27:N28)</f>
        <v>-1000</v>
      </c>
      <c r="O23" s="35">
        <f>SUM(CORPcf!O27:O28)</f>
        <v>-1000</v>
      </c>
      <c r="P23" s="35">
        <f>SUM(CORPcf!P27:P28)</f>
        <v>0</v>
      </c>
      <c r="Q23" s="35">
        <f>SUM(CORPcf!Q27:Q28)</f>
        <v>0</v>
      </c>
    </row>
    <row r="24" spans="1:27" s="14" customFormat="1" x14ac:dyDescent="0.25">
      <c r="B24" s="14" t="s">
        <v>20</v>
      </c>
      <c r="D24" s="35">
        <f>SUM(CORPcf!D12:D18)</f>
        <v>0</v>
      </c>
      <c r="E24" s="35">
        <f>SUM(CORPcf!E12:E18)</f>
        <v>1323.5</v>
      </c>
      <c r="F24" s="35">
        <f>SUM(CORPcf!F12:F18)</f>
        <v>3861.1</v>
      </c>
      <c r="G24" s="35">
        <f>SUM(CORPcf!G12:G18)</f>
        <v>7431.134678837424</v>
      </c>
      <c r="H24" s="35">
        <f>SUM(CORPcf!H12:H18)</f>
        <v>7184.5930582961082</v>
      </c>
      <c r="I24" s="35">
        <f>SUM(CORPcf!I12:I18)</f>
        <v>0</v>
      </c>
      <c r="J24" s="35">
        <f>SUM(CORPcf!J12:J18)</f>
        <v>0</v>
      </c>
      <c r="K24" s="35">
        <f>SUM(CORPcf!K12:K18)</f>
        <v>0</v>
      </c>
      <c r="L24" s="35">
        <f>SUM(CORPcf!L12:L18)</f>
        <v>0</v>
      </c>
      <c r="M24" s="35">
        <f>SUM(CORPcf!M12:M18)</f>
        <v>3700.1687458463871</v>
      </c>
      <c r="N24" s="35">
        <f>SUM(CORPcf!N12:N18)</f>
        <v>3672.9894928651643</v>
      </c>
      <c r="O24" s="35">
        <f>SUM(CORPcf!O12:O18)</f>
        <v>3637.8963791401193</v>
      </c>
      <c r="P24" s="35">
        <f>SUM(CORPcf!P12:P18)</f>
        <v>0</v>
      </c>
      <c r="Q24" s="35">
        <f>SUM(CORPcf!Q12:Q18)</f>
        <v>0</v>
      </c>
    </row>
    <row r="25" spans="1:27" s="14" customFormat="1" x14ac:dyDescent="0.25">
      <c r="A25" s="14" t="s">
        <v>21</v>
      </c>
      <c r="D25" s="210">
        <f>D22+D12+D23+D24</f>
        <v>-8112.0649999999951</v>
      </c>
      <c r="E25" s="210">
        <f>E22+E12+E23+E24</f>
        <v>-56027.998</v>
      </c>
      <c r="F25" s="210">
        <f>F22+F12+F23+F24</f>
        <v>5848.8330000000005</v>
      </c>
      <c r="G25" s="210">
        <f>G22+G12+G23+G24</f>
        <v>1555.5036788374282</v>
      </c>
      <c r="H25" s="210">
        <f>H22+H12+H23+H24</f>
        <v>-1655.3584786549072</v>
      </c>
      <c r="I25" s="226"/>
      <c r="J25" s="226"/>
      <c r="K25" s="226"/>
      <c r="L25" s="226"/>
      <c r="M25" s="210">
        <f>M22+M12+M23+M24</f>
        <v>-10887.300859271467</v>
      </c>
      <c r="N25" s="210">
        <f>N22+N12+N23+N24</f>
        <v>-12288.968090660788</v>
      </c>
      <c r="O25" s="210">
        <f>O22+O12+O23+O24</f>
        <v>-13569.047695817459</v>
      </c>
      <c r="P25" s="210">
        <f>IF(P5=0,O25*(1+$D30),P22+P12+P23+P24)</f>
        <v>-16206.944074957577</v>
      </c>
      <c r="Q25" s="210">
        <f>IF(Q5=0,P25*(1+$D30),Q22+Q12+Q23+Q24)</f>
        <v>-16206.944074957577</v>
      </c>
      <c r="R25" s="406">
        <f t="shared" ref="R25:AA25" ca="1" si="16">IF(R$4&gt;0,Q25*(1+$D30),"")</f>
        <v>-16531.082956456728</v>
      </c>
      <c r="S25" s="406">
        <f t="shared" ca="1" si="16"/>
        <v>-16861.704615585862</v>
      </c>
      <c r="T25" s="406">
        <f t="shared" ca="1" si="16"/>
        <v>-17198.938707897581</v>
      </c>
      <c r="U25" s="406">
        <f t="shared" ca="1" si="16"/>
        <v>-17542.917482055534</v>
      </c>
      <c r="V25" s="406">
        <f t="shared" ca="1" si="16"/>
        <v>-17893.775831696646</v>
      </c>
      <c r="W25" s="406">
        <f t="shared" ca="1" si="16"/>
        <v>-18251.651348330579</v>
      </c>
      <c r="X25" s="406">
        <f t="shared" ca="1" si="16"/>
        <v>-18616.684375297191</v>
      </c>
      <c r="Y25" s="406">
        <f t="shared" ca="1" si="16"/>
        <v>-18989.018062803134</v>
      </c>
      <c r="Z25" s="406">
        <f t="shared" ca="1" si="16"/>
        <v>-19368.798424059198</v>
      </c>
      <c r="AA25" s="406">
        <f t="shared" ca="1" si="16"/>
        <v>-19756.174392540383</v>
      </c>
    </row>
    <row r="26" spans="1:27" s="14" customFormat="1" x14ac:dyDescent="0.25">
      <c r="A26" s="14" t="s">
        <v>426</v>
      </c>
      <c r="D26" s="210"/>
      <c r="E26" s="210"/>
      <c r="F26" s="210"/>
      <c r="G26" s="210"/>
      <c r="H26" s="406">
        <f t="shared" ref="H26:AA26" ca="1" si="17">IF(ISERROR(H25/(1+$D32)^H$4),"",H25/(1+$D32)^H$4)</f>
        <v>-2649.0940146129719</v>
      </c>
      <c r="I26" s="405">
        <f t="shared" ca="1" si="17"/>
        <v>0</v>
      </c>
      <c r="J26" s="405">
        <f t="shared" ca="1" si="17"/>
        <v>0</v>
      </c>
      <c r="K26" s="405">
        <f t="shared" ca="1" si="17"/>
        <v>0</v>
      </c>
      <c r="L26" s="405">
        <f t="shared" ca="1" si="17"/>
        <v>0</v>
      </c>
      <c r="M26" s="406">
        <f t="shared" ca="1" si="17"/>
        <v>-15402.915022929074</v>
      </c>
      <c r="N26" s="406">
        <f t="shared" ca="1" si="17"/>
        <v>-15364.868778993849</v>
      </c>
      <c r="O26" s="406">
        <f t="shared" ca="1" si="17"/>
        <v>-14998.236218826436</v>
      </c>
      <c r="P26" s="406">
        <f t="shared" ca="1" si="17"/>
        <v>-15836.869393458181</v>
      </c>
      <c r="Q26" s="406">
        <f t="shared" ca="1" si="17"/>
        <v>-14000.602207936825</v>
      </c>
      <c r="R26" s="406">
        <f t="shared" ca="1" si="17"/>
        <v>-12624.793099018187</v>
      </c>
      <c r="S26" s="406">
        <f t="shared" ca="1" si="17"/>
        <v>-11384.181796313231</v>
      </c>
      <c r="T26" s="406">
        <f t="shared" ca="1" si="17"/>
        <v>-10265.482701778958</v>
      </c>
      <c r="U26" s="406">
        <f t="shared" ca="1" si="17"/>
        <v>-9256.715764557659</v>
      </c>
      <c r="V26" s="406">
        <f t="shared" ca="1" si="17"/>
        <v>-8347.0781876590354</v>
      </c>
      <c r="W26" s="406">
        <f t="shared" ca="1" si="17"/>
        <v>-7526.8287417511156</v>
      </c>
      <c r="X26" s="406">
        <f t="shared" ca="1" si="17"/>
        <v>-6787.183447186475</v>
      </c>
      <c r="Y26" s="406">
        <f t="shared" ca="1" si="17"/>
        <v>-6120.2215071316823</v>
      </c>
      <c r="Z26" s="406">
        <f t="shared" ca="1" si="17"/>
        <v>-5518.8004844460902</v>
      </c>
      <c r="AA26" s="406">
        <f t="shared" ca="1" si="17"/>
        <v>-4976.4798139465602</v>
      </c>
    </row>
    <row r="27" spans="1:27" s="14" customFormat="1" x14ac:dyDescent="0.25"/>
    <row r="28" spans="1:27" s="14" customFormat="1" x14ac:dyDescent="0.25">
      <c r="A28" s="14" t="s">
        <v>206</v>
      </c>
      <c r="D28" s="371">
        <v>0.4</v>
      </c>
      <c r="E28" s="374" t="s">
        <v>430</v>
      </c>
    </row>
    <row r="29" spans="1:27" s="14" customFormat="1" x14ac:dyDescent="0.25">
      <c r="A29" s="14" t="s">
        <v>429</v>
      </c>
      <c r="D29" s="372">
        <v>10</v>
      </c>
      <c r="E29" s="375">
        <f ca="1">MAX(4:4)</f>
        <v>11.187431008371382</v>
      </c>
    </row>
    <row r="30" spans="1:27" s="14" customFormat="1" x14ac:dyDescent="0.25">
      <c r="A30" s="14" t="s">
        <v>428</v>
      </c>
      <c r="D30" s="373">
        <v>0.02</v>
      </c>
      <c r="E30" s="377">
        <f ca="1">(LOOKUP(1000000,25:25)/(D32-D31))   /    (1+D32)^MAX(4:4)</f>
        <v>-41074.874419404805</v>
      </c>
    </row>
    <row r="31" spans="1:27" s="31" customFormat="1" x14ac:dyDescent="0.25">
      <c r="A31" s="32" t="s">
        <v>427</v>
      </c>
      <c r="B31" s="29"/>
      <c r="C31" s="14"/>
      <c r="D31" s="373">
        <v>0.01</v>
      </c>
      <c r="E31" s="376" t="s">
        <v>431</v>
      </c>
      <c r="F31" s="14"/>
      <c r="G31" s="14"/>
      <c r="I31" s="14"/>
      <c r="J31" s="14"/>
      <c r="K31" s="14"/>
      <c r="L31" s="14"/>
    </row>
    <row r="32" spans="1:27" s="31" customFormat="1" ht="15.75" thickBot="1" x14ac:dyDescent="0.3">
      <c r="A32" s="14" t="s">
        <v>22</v>
      </c>
      <c r="C32" s="14"/>
      <c r="D32" s="33">
        <f>Presentation!BA21</f>
        <v>0.13115630015403151</v>
      </c>
      <c r="E32" s="14"/>
      <c r="G32" s="14"/>
      <c r="I32" s="14"/>
      <c r="J32" s="14"/>
      <c r="K32" s="14"/>
      <c r="L32" s="14"/>
      <c r="R32" s="14"/>
    </row>
    <row r="33" spans="1:18" ht="15.75" thickBot="1" x14ac:dyDescent="0.3">
      <c r="A33" s="14" t="s">
        <v>23</v>
      </c>
      <c r="D33" s="436">
        <f ca="1">SUM(26:26)+E30</f>
        <v>-202135.22559995114</v>
      </c>
      <c r="E33" s="435">
        <f>Presentation!BP10*1000</f>
        <v>0</v>
      </c>
      <c r="F33" s="513">
        <f ca="1">E33/D33-1</f>
        <v>-1</v>
      </c>
    </row>
    <row r="34" spans="1:18" collapsed="1" x14ac:dyDescent="0.25">
      <c r="D34" s="434" t="s">
        <v>447</v>
      </c>
      <c r="E34" s="434" t="s">
        <v>492</v>
      </c>
      <c r="F34" s="30" t="s">
        <v>515</v>
      </c>
      <c r="H34"/>
      <c r="P34" s="14"/>
      <c r="Q34" s="14"/>
      <c r="R34" s="366"/>
    </row>
    <row r="35" spans="1:18" x14ac:dyDescent="0.25">
      <c r="H35"/>
      <c r="M35"/>
      <c r="N35"/>
      <c r="O35"/>
      <c r="P35"/>
      <c r="Q35"/>
    </row>
    <row r="36" spans="1:18" x14ac:dyDescent="0.25">
      <c r="H36"/>
      <c r="M36"/>
      <c r="N36"/>
      <c r="O36"/>
      <c r="P36"/>
      <c r="Q36"/>
    </row>
    <row r="37" spans="1:18" x14ac:dyDescent="0.25">
      <c r="H37"/>
      <c r="M37"/>
      <c r="N37"/>
      <c r="O37"/>
      <c r="P37"/>
      <c r="Q37"/>
    </row>
    <row r="38" spans="1:18" x14ac:dyDescent="0.25">
      <c r="H38"/>
      <c r="M38"/>
      <c r="N38"/>
      <c r="O38"/>
      <c r="P38"/>
      <c r="Q38"/>
    </row>
    <row r="39" spans="1:18" x14ac:dyDescent="0.25">
      <c r="H39"/>
      <c r="M39"/>
      <c r="N39"/>
      <c r="O39"/>
      <c r="P39"/>
      <c r="Q39"/>
    </row>
  </sheetData>
  <sheetProtection algorithmName="SHA-512" hashValue="diLsWPbd2q8urLMWqIVoEA1/GcCli1vip7uh6FRJvjXvBXmLtnVxG9dlNm3+lendF7BVMnmoZS6fZHyNP8RuWg==" saltValue="VYciO0E9D58F3yjEcnkhNg==" spinCount="100000" sheet="1" objects="1" scenarios="1"/>
  <dataValidations disablePrompts="1" count="1">
    <dataValidation type="whole" allowBlank="1" showInputMessage="1" showErrorMessage="1" errorTitle="Years in Terminal Growth Stage 1" error="Input value between 1 and 10" promptTitle="Years in Terminal Stage1 (1-10)" sqref="D29" xr:uid="{00000000-0002-0000-1000-000000000000}">
      <formula1>1</formula1>
      <formula2>10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 tint="-0.34998626667073579"/>
  </sheetPr>
  <dimension ref="A1:AH49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6.140625" customWidth="1"/>
    <col min="2" max="2" width="31.28515625" customWidth="1"/>
    <col min="3" max="3" width="2.85546875" style="89" customWidth="1"/>
    <col min="4" max="7" width="9.85546875" bestFit="1" customWidth="1"/>
    <col min="8" max="8" width="12.42578125" style="36" bestFit="1" customWidth="1"/>
    <col min="9" max="11" width="9.85546875" bestFit="1" customWidth="1"/>
    <col min="12" max="12" width="10.5703125" bestFit="1" customWidth="1"/>
    <col min="13" max="17" width="9.85546875" style="36" bestFit="1" customWidth="1"/>
    <col min="18" max="18" width="4.28515625" customWidth="1"/>
  </cols>
  <sheetData>
    <row r="1" spans="1:34" x14ac:dyDescent="0.25">
      <c r="A1" s="429" t="s">
        <v>566</v>
      </c>
      <c r="H1"/>
      <c r="M1"/>
      <c r="N1"/>
      <c r="O1"/>
      <c r="P1"/>
      <c r="Q1"/>
    </row>
    <row r="2" spans="1:34" ht="15.75" thickBot="1" x14ac:dyDescent="0.3">
      <c r="A2" s="431" t="s">
        <v>25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</row>
    <row r="3" spans="1:34" ht="15.75" thickBot="1" x14ac:dyDescent="0.3">
      <c r="C3" s="90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4" spans="1:34" s="37" customFormat="1" x14ac:dyDescent="0.25">
      <c r="A4" s="1" t="s">
        <v>26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/>
    </row>
    <row r="5" spans="1:34" s="37" customFormat="1" x14ac:dyDescent="0.25">
      <c r="B5" s="37" t="s">
        <v>27</v>
      </c>
      <c r="C5" s="91"/>
      <c r="D5" s="545">
        <v>429911.69</v>
      </c>
      <c r="E5" s="545">
        <v>398453.80900000001</v>
      </c>
      <c r="F5" s="545">
        <v>356918.152</v>
      </c>
      <c r="G5" s="545">
        <v>336865.65067883744</v>
      </c>
      <c r="H5" s="545">
        <v>246430.08232518253</v>
      </c>
      <c r="I5" s="545">
        <v>239649.69706140307</v>
      </c>
      <c r="J5" s="545">
        <v>232869.31179762361</v>
      </c>
      <c r="K5" s="545">
        <v>226088.92653384415</v>
      </c>
      <c r="L5" s="545">
        <v>219308.54127006468</v>
      </c>
      <c r="M5" s="545">
        <v>127260.20396079322</v>
      </c>
      <c r="N5" s="545">
        <v>101213.55387013243</v>
      </c>
      <c r="O5" s="545">
        <v>73495.573774314966</v>
      </c>
      <c r="P5" s="545">
        <v>36747.697299357387</v>
      </c>
      <c r="Q5" s="545">
        <v>0</v>
      </c>
      <c r="R5" s="548" t="s">
        <v>519</v>
      </c>
      <c r="AG5" s="37" t="s">
        <v>472</v>
      </c>
      <c r="AH5" s="37" t="s">
        <v>472</v>
      </c>
    </row>
    <row r="6" spans="1:34" s="37" customFormat="1" x14ac:dyDescent="0.25">
      <c r="B6" s="37" t="s">
        <v>28</v>
      </c>
      <c r="C6" s="91"/>
      <c r="D6" s="124">
        <v>1231</v>
      </c>
      <c r="E6" s="124">
        <v>1083</v>
      </c>
      <c r="F6" s="124">
        <v>2525</v>
      </c>
      <c r="G6" s="124">
        <v>1972.895</v>
      </c>
      <c r="H6" s="124">
        <v>1972.895</v>
      </c>
      <c r="I6" s="124">
        <f>$H6</f>
        <v>1972.895</v>
      </c>
      <c r="J6" s="124">
        <f t="shared" ref="J6:L6" si="0">$H6</f>
        <v>1972.895</v>
      </c>
      <c r="K6" s="124">
        <f t="shared" si="0"/>
        <v>1972.895</v>
      </c>
      <c r="L6" s="124">
        <f t="shared" si="0"/>
        <v>1972.895</v>
      </c>
      <c r="M6" s="124">
        <v>1972.895</v>
      </c>
      <c r="N6" s="124">
        <v>1972.895</v>
      </c>
      <c r="O6" s="124">
        <v>1972.895</v>
      </c>
      <c r="P6" s="124">
        <v>1972.895</v>
      </c>
      <c r="Q6" s="124">
        <v>1972.895</v>
      </c>
      <c r="R6" s="549"/>
    </row>
    <row r="7" spans="1:34" s="37" customFormat="1" x14ac:dyDescent="0.25">
      <c r="B7" s="97" t="s">
        <v>98</v>
      </c>
      <c r="C7" s="91"/>
      <c r="D7" s="96">
        <f>D47*CORPpl!D5/365</f>
        <v>0</v>
      </c>
      <c r="E7" s="96">
        <f>E47*CORPpl!E5/365</f>
        <v>0</v>
      </c>
      <c r="F7" s="96">
        <f>F47*CORPpl!F5/365</f>
        <v>0</v>
      </c>
      <c r="G7" s="96">
        <f>G47*CORPpl!G5/365</f>
        <v>0</v>
      </c>
      <c r="H7" s="96">
        <f>H47*CORPpl!H5/365</f>
        <v>0</v>
      </c>
      <c r="I7" s="96">
        <f>I47*CORPpl!I5/365</f>
        <v>0</v>
      </c>
      <c r="J7" s="96">
        <f>J47*CORPpl!J5/365</f>
        <v>0</v>
      </c>
      <c r="K7" s="96">
        <f>K47*CORPpl!K5/365</f>
        <v>0</v>
      </c>
      <c r="L7" s="96">
        <f>L47*CORPpl!L5/365</f>
        <v>0</v>
      </c>
      <c r="M7" s="96">
        <f>M47*CORPpl!M5/365</f>
        <v>0</v>
      </c>
      <c r="N7" s="96">
        <f>N47*CORPpl!N5/365</f>
        <v>0</v>
      </c>
      <c r="O7" s="96">
        <f>O47*CORPpl!O5/365</f>
        <v>0</v>
      </c>
      <c r="P7" s="96">
        <f>P47*CORPpl!P5/365</f>
        <v>0</v>
      </c>
      <c r="Q7" s="96">
        <f>Q47*CORPpl!Q5/365</f>
        <v>0</v>
      </c>
      <c r="R7" s="549"/>
    </row>
    <row r="8" spans="1:34" s="37" customFormat="1" x14ac:dyDescent="0.25">
      <c r="B8" s="97" t="s">
        <v>29</v>
      </c>
      <c r="C8" s="91"/>
      <c r="D8" s="96">
        <f>IF(D46=0,0,CORPpl!D6/D46)</f>
        <v>0</v>
      </c>
      <c r="E8" s="96">
        <f>IF(E46=0,0,CORPpl!E6/E46)</f>
        <v>0</v>
      </c>
      <c r="F8" s="96">
        <f>IF(F46=0,0,CORPpl!F6/F46)</f>
        <v>0</v>
      </c>
      <c r="G8" s="96">
        <f>IF(G46=0,0,CORPpl!G6/G46)</f>
        <v>0</v>
      </c>
      <c r="H8" s="96">
        <f>IF(H46=0,0,CORPpl!H6/H46)</f>
        <v>0</v>
      </c>
      <c r="I8" s="96">
        <f>IF(I46=0,0,CORPpl!I6/I46)</f>
        <v>0</v>
      </c>
      <c r="J8" s="96">
        <f>IF(J46=0,0,CORPpl!J6/J46)</f>
        <v>0</v>
      </c>
      <c r="K8" s="96">
        <f>IF(K46=0,0,CORPpl!K6/K46)</f>
        <v>0</v>
      </c>
      <c r="L8" s="96">
        <f>IF(L46=0,0,CORPpl!L6/L46)</f>
        <v>0</v>
      </c>
      <c r="M8" s="96">
        <f>IF(M46=0,0,CORPpl!M6/M46)</f>
        <v>0</v>
      </c>
      <c r="N8" s="96">
        <f>IF(N46=0,0,CORPpl!N6/N46)</f>
        <v>0</v>
      </c>
      <c r="O8" s="96">
        <f>IF(O46=0,0,CORPpl!O6/O46)</f>
        <v>0</v>
      </c>
      <c r="P8" s="96">
        <f>IF(P46=0,0,CORPpl!P6/P46)</f>
        <v>0</v>
      </c>
      <c r="Q8" s="96">
        <f>IF(Q46=0,0,CORPpl!Q6/Q46)</f>
        <v>0</v>
      </c>
      <c r="R8" s="549"/>
    </row>
    <row r="9" spans="1:34" s="37" customFormat="1" x14ac:dyDescent="0.25">
      <c r="B9" s="97" t="s">
        <v>30</v>
      </c>
      <c r="C9" s="91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549"/>
    </row>
    <row r="10" spans="1:34" s="37" customFormat="1" x14ac:dyDescent="0.25">
      <c r="B10" s="97" t="s">
        <v>31</v>
      </c>
      <c r="C10" s="91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549"/>
    </row>
    <row r="11" spans="1:34" s="37" customFormat="1" x14ac:dyDescent="0.25">
      <c r="B11" s="97" t="s">
        <v>32</v>
      </c>
      <c r="C11" s="91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549"/>
    </row>
    <row r="12" spans="1:34" s="37" customFormat="1" x14ac:dyDescent="0.25">
      <c r="B12" s="138" t="s">
        <v>33</v>
      </c>
      <c r="C12" s="91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549"/>
    </row>
    <row r="13" spans="1:34" s="37" customFormat="1" x14ac:dyDescent="0.25">
      <c r="B13" s="139" t="s">
        <v>34</v>
      </c>
      <c r="C13" s="91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549"/>
    </row>
    <row r="14" spans="1:34" s="97" customFormat="1" x14ac:dyDescent="0.25">
      <c r="B14" s="97" t="s">
        <v>35</v>
      </c>
      <c r="C14" s="91"/>
      <c r="D14" s="96">
        <f>D12-D13</f>
        <v>0</v>
      </c>
      <c r="E14" s="96">
        <f>E12-E13</f>
        <v>0</v>
      </c>
      <c r="F14" s="96">
        <f>F12-F13</f>
        <v>0</v>
      </c>
      <c r="G14" s="96">
        <f>G12-G13</f>
        <v>0</v>
      </c>
      <c r="H14" s="96">
        <f>H12-H13</f>
        <v>0</v>
      </c>
      <c r="I14" s="96"/>
      <c r="J14" s="96"/>
      <c r="K14" s="96"/>
      <c r="L14" s="96">
        <f t="shared" ref="L14:Q14" si="1">L12-L13</f>
        <v>0</v>
      </c>
      <c r="M14" s="96">
        <f t="shared" si="1"/>
        <v>0</v>
      </c>
      <c r="N14" s="96">
        <f t="shared" si="1"/>
        <v>0</v>
      </c>
      <c r="O14" s="96">
        <f t="shared" si="1"/>
        <v>0</v>
      </c>
      <c r="P14" s="96">
        <f t="shared" si="1"/>
        <v>0</v>
      </c>
      <c r="Q14" s="96">
        <f t="shared" si="1"/>
        <v>0</v>
      </c>
      <c r="R14" s="549"/>
    </row>
    <row r="15" spans="1:34" s="37" customFormat="1" x14ac:dyDescent="0.25">
      <c r="B15" s="97" t="s">
        <v>36</v>
      </c>
      <c r="C15" s="91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549"/>
    </row>
    <row r="16" spans="1:34" s="37" customFormat="1" x14ac:dyDescent="0.25">
      <c r="B16" s="140" t="s">
        <v>97</v>
      </c>
      <c r="C16" s="91"/>
      <c r="D16" s="124">
        <v>99061</v>
      </c>
      <c r="E16" s="124">
        <v>96902</v>
      </c>
      <c r="F16" s="124">
        <v>90679</v>
      </c>
      <c r="G16" s="124">
        <v>82613.440321162576</v>
      </c>
      <c r="H16" s="124">
        <v>75007.40664142379</v>
      </c>
      <c r="I16" s="124">
        <f>$H16</f>
        <v>75007.40664142379</v>
      </c>
      <c r="J16" s="124">
        <f t="shared" ref="J16:L16" si="2">$H16</f>
        <v>75007.40664142379</v>
      </c>
      <c r="K16" s="124">
        <f t="shared" si="2"/>
        <v>75007.40664142379</v>
      </c>
      <c r="L16" s="124">
        <f t="shared" si="2"/>
        <v>75007.40664142379</v>
      </c>
      <c r="M16" s="124">
        <v>71580.737641423795</v>
      </c>
      <c r="N16" s="124">
        <v>68300.017641423794</v>
      </c>
      <c r="O16" s="124">
        <v>64867.21364142379</v>
      </c>
      <c r="P16" s="124">
        <v>64867.21364142379</v>
      </c>
      <c r="Q16" s="124">
        <v>64867.21364142379</v>
      </c>
      <c r="R16" s="549"/>
    </row>
    <row r="17" spans="1:18" s="97" customFormat="1" x14ac:dyDescent="0.25">
      <c r="A17" s="1" t="s">
        <v>37</v>
      </c>
      <c r="C17" s="91"/>
      <c r="D17" s="96">
        <f t="shared" ref="D17:Q17" si="3">SUM(D5,D6,D7,D8,D9,D10,D11,D14,D15,D16)</f>
        <v>530203.68999999994</v>
      </c>
      <c r="E17" s="96">
        <f t="shared" si="3"/>
        <v>496438.80900000001</v>
      </c>
      <c r="F17" s="96">
        <f t="shared" si="3"/>
        <v>450122.152</v>
      </c>
      <c r="G17" s="96">
        <f t="shared" si="3"/>
        <v>421451.98600000003</v>
      </c>
      <c r="H17" s="96">
        <f t="shared" si="3"/>
        <v>323410.38396660634</v>
      </c>
      <c r="I17" s="96">
        <f t="shared" si="3"/>
        <v>316629.99870282685</v>
      </c>
      <c r="J17" s="96">
        <f t="shared" si="3"/>
        <v>309849.61343904736</v>
      </c>
      <c r="K17" s="96">
        <f t="shared" si="3"/>
        <v>303069.22817526793</v>
      </c>
      <c r="L17" s="96">
        <f t="shared" si="3"/>
        <v>296288.84291148849</v>
      </c>
      <c r="M17" s="96">
        <f t="shared" si="3"/>
        <v>200813.83660221702</v>
      </c>
      <c r="N17" s="96">
        <f t="shared" si="3"/>
        <v>171486.46651155624</v>
      </c>
      <c r="O17" s="96">
        <f t="shared" si="3"/>
        <v>140335.68241573876</v>
      </c>
      <c r="P17" s="96">
        <f t="shared" si="3"/>
        <v>103587.80594078117</v>
      </c>
      <c r="Q17" s="96">
        <f t="shared" si="3"/>
        <v>66840.108641423794</v>
      </c>
      <c r="R17" s="549"/>
    </row>
    <row r="18" spans="1:18" x14ac:dyDescent="0.25">
      <c r="B18" s="97"/>
      <c r="H18"/>
      <c r="M18"/>
      <c r="N18"/>
      <c r="O18"/>
      <c r="P18"/>
      <c r="Q18"/>
      <c r="R18" s="549"/>
    </row>
    <row r="19" spans="1:18" s="55" customFormat="1" x14ac:dyDescent="0.25">
      <c r="A19" s="43" t="s">
        <v>38</v>
      </c>
      <c r="B19" s="63"/>
      <c r="C19" s="89"/>
      <c r="D19" s="56"/>
      <c r="E19" s="56"/>
      <c r="F19" s="56"/>
      <c r="G19" s="57"/>
      <c r="H19" s="57"/>
      <c r="I19" s="59"/>
      <c r="J19" s="59"/>
      <c r="K19" s="59"/>
      <c r="L19" s="59"/>
      <c r="M19" s="58"/>
      <c r="N19" s="58"/>
      <c r="O19" s="58"/>
      <c r="P19" s="58"/>
      <c r="Q19" s="58"/>
      <c r="R19" s="549"/>
    </row>
    <row r="20" spans="1:18" s="55" customFormat="1" x14ac:dyDescent="0.25">
      <c r="B20" s="63" t="s">
        <v>39</v>
      </c>
      <c r="C20" s="89"/>
      <c r="D20" s="64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  <c r="R20" s="549"/>
    </row>
    <row r="21" spans="1:18" s="55" customFormat="1" x14ac:dyDescent="0.25">
      <c r="B21" s="55" t="s">
        <v>124</v>
      </c>
      <c r="C21" s="89"/>
      <c r="D21" s="64">
        <f>D48*CORPpl!D6/365</f>
        <v>0</v>
      </c>
      <c r="E21" s="64">
        <f>E48*CORPpl!E6/365</f>
        <v>0</v>
      </c>
      <c r="F21" s="64">
        <f>F48*CORPpl!F6/365</f>
        <v>0</v>
      </c>
      <c r="G21" s="64">
        <f>G48*CORPpl!G6/365</f>
        <v>0</v>
      </c>
      <c r="H21" s="64">
        <f>H48*CORPpl!H6/365</f>
        <v>0</v>
      </c>
      <c r="I21" s="64">
        <f>I48*CORPpl!I6/365</f>
        <v>0</v>
      </c>
      <c r="J21" s="64">
        <f>J48*CORPpl!J6/365</f>
        <v>0</v>
      </c>
      <c r="K21" s="64">
        <f>K48*CORPpl!K6/365</f>
        <v>0</v>
      </c>
      <c r="L21" s="64">
        <f>L48*CORPpl!L6/365</f>
        <v>0</v>
      </c>
      <c r="M21" s="64">
        <f>M48*CORPpl!M6/365</f>
        <v>0</v>
      </c>
      <c r="N21" s="64">
        <f>N48*CORPpl!N6/365</f>
        <v>0</v>
      </c>
      <c r="O21" s="64">
        <f>O48*CORPpl!O6/365</f>
        <v>0</v>
      </c>
      <c r="P21" s="64">
        <f>P48*CORPpl!P6/365</f>
        <v>0</v>
      </c>
      <c r="Q21" s="64">
        <f>Q48*CORPpl!Q6/365</f>
        <v>0</v>
      </c>
      <c r="R21" s="549"/>
    </row>
    <row r="22" spans="1:18" s="55" customFormat="1" x14ac:dyDescent="0.25">
      <c r="B22" s="55" t="s">
        <v>40</v>
      </c>
      <c r="C22" s="89"/>
      <c r="D22" s="98">
        <v>15313</v>
      </c>
      <c r="E22" s="98">
        <v>15313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8">
        <v>0</v>
      </c>
      <c r="L22" s="98">
        <v>0</v>
      </c>
      <c r="M22" s="98">
        <v>0</v>
      </c>
      <c r="N22" s="98">
        <v>0</v>
      </c>
      <c r="O22" s="98">
        <v>0</v>
      </c>
      <c r="P22" s="98"/>
      <c r="Q22" s="98"/>
      <c r="R22" s="549"/>
    </row>
    <row r="23" spans="1:18" s="55" customFormat="1" x14ac:dyDescent="0.25">
      <c r="B23" s="55" t="s">
        <v>41</v>
      </c>
      <c r="C23" s="89"/>
      <c r="D23" s="98">
        <v>6610.5</v>
      </c>
      <c r="E23" s="98">
        <v>5775</v>
      </c>
      <c r="F23" s="98">
        <v>3413.1</v>
      </c>
      <c r="G23" s="98">
        <v>2778.6749999999997</v>
      </c>
      <c r="H23" s="98">
        <v>2357.2343785573216</v>
      </c>
      <c r="I23" s="98">
        <f>$H23</f>
        <v>2357.2343785573216</v>
      </c>
      <c r="J23" s="98">
        <f t="shared" ref="J23:L23" si="4">$H23</f>
        <v>2357.2343785573216</v>
      </c>
      <c r="K23" s="98">
        <f t="shared" si="4"/>
        <v>2357.2343785573216</v>
      </c>
      <c r="L23" s="98">
        <f t="shared" si="4"/>
        <v>2357.2343785573216</v>
      </c>
      <c r="M23" s="98">
        <v>2630.7341244037143</v>
      </c>
      <c r="N23" s="98">
        <v>3023.0036172688774</v>
      </c>
      <c r="O23" s="98">
        <v>3228.095996408993</v>
      </c>
      <c r="P23" s="98">
        <v>3228.095996408993</v>
      </c>
      <c r="Q23" s="98">
        <v>3228.095996408993</v>
      </c>
      <c r="R23" s="549"/>
    </row>
    <row r="24" spans="1:18" s="55" customFormat="1" x14ac:dyDescent="0.25">
      <c r="B24" s="55" t="s">
        <v>42</v>
      </c>
      <c r="C24" s="89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549"/>
    </row>
    <row r="25" spans="1:18" s="55" customFormat="1" x14ac:dyDescent="0.25">
      <c r="B25" s="55" t="s">
        <v>43</v>
      </c>
      <c r="C25" s="89"/>
      <c r="D25" s="64">
        <f>SUM(Debt!D16:D17)</f>
        <v>306750</v>
      </c>
      <c r="E25" s="64">
        <f>SUM(Debt!E16:E17)</f>
        <v>306750</v>
      </c>
      <c r="F25" s="64">
        <f>SUM(Debt!F16:F17)</f>
        <v>306750</v>
      </c>
      <c r="G25" s="64">
        <f>SUM(Debt!G16:G17)</f>
        <v>306750</v>
      </c>
      <c r="H25" s="64">
        <f>SUM(Debt!H16:H17)</f>
        <v>235000</v>
      </c>
      <c r="I25" s="64">
        <f>SUM(Debt!I16:I17)</f>
        <v>235000</v>
      </c>
      <c r="J25" s="64">
        <f>SUM(Debt!J16:J17)</f>
        <v>235000</v>
      </c>
      <c r="K25" s="64">
        <f>SUM(Debt!K16:K17)</f>
        <v>235000</v>
      </c>
      <c r="L25" s="64">
        <f>SUM(Debt!L16:L17)</f>
        <v>235000</v>
      </c>
      <c r="M25" s="64">
        <f>SUM(Debt!M16:M17)</f>
        <v>235000</v>
      </c>
      <c r="N25" s="64">
        <f>SUM(Debt!N16:N17)</f>
        <v>235000</v>
      </c>
      <c r="O25" s="64">
        <f>SUM(Debt!O16:O17)</f>
        <v>235000</v>
      </c>
      <c r="P25" s="64">
        <f>SUM(Debt!P16:P17)</f>
        <v>235000</v>
      </c>
      <c r="Q25" s="64">
        <f>SUM(Debt!Q16:Q17)</f>
        <v>235000</v>
      </c>
      <c r="R25" s="549"/>
    </row>
    <row r="26" spans="1:18" s="55" customFormat="1" x14ac:dyDescent="0.25">
      <c r="B26" s="65" t="s">
        <v>44</v>
      </c>
      <c r="C26" s="89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549"/>
    </row>
    <row r="27" spans="1:18" s="63" customFormat="1" x14ac:dyDescent="0.25">
      <c r="A27" s="43" t="s">
        <v>45</v>
      </c>
      <c r="B27" s="55"/>
      <c r="C27" s="89"/>
      <c r="D27" s="64">
        <f t="shared" ref="D27:Q27" si="5">SUM(D20,D21,D22,D23,D24,D25,D26)</f>
        <v>328673.5</v>
      </c>
      <c r="E27" s="64">
        <f t="shared" si="5"/>
        <v>327838</v>
      </c>
      <c r="F27" s="64">
        <f t="shared" si="5"/>
        <v>310163.09999999998</v>
      </c>
      <c r="G27" s="64">
        <f t="shared" si="5"/>
        <v>309528.67499999999</v>
      </c>
      <c r="H27" s="64">
        <f t="shared" si="5"/>
        <v>237357.23437855733</v>
      </c>
      <c r="I27" s="64">
        <f t="shared" si="5"/>
        <v>237357.23437855733</v>
      </c>
      <c r="J27" s="64">
        <f t="shared" si="5"/>
        <v>237357.23437855733</v>
      </c>
      <c r="K27" s="64">
        <f t="shared" si="5"/>
        <v>237357.23437855733</v>
      </c>
      <c r="L27" s="64">
        <f t="shared" si="5"/>
        <v>237357.23437855733</v>
      </c>
      <c r="M27" s="64">
        <f t="shared" si="5"/>
        <v>237630.73412440371</v>
      </c>
      <c r="N27" s="64">
        <f t="shared" si="5"/>
        <v>238023.00361726887</v>
      </c>
      <c r="O27" s="64">
        <f t="shared" si="5"/>
        <v>238228.09599640899</v>
      </c>
      <c r="P27" s="64">
        <f t="shared" si="5"/>
        <v>238228.09599640899</v>
      </c>
      <c r="Q27" s="64">
        <f t="shared" si="5"/>
        <v>238228.09599640899</v>
      </c>
      <c r="R27" s="549"/>
    </row>
    <row r="28" spans="1:18" x14ac:dyDescent="0.25">
      <c r="H28"/>
      <c r="M28"/>
      <c r="N28"/>
      <c r="O28"/>
      <c r="P28"/>
      <c r="Q28"/>
      <c r="R28" s="549"/>
    </row>
    <row r="29" spans="1:18" s="69" customFormat="1" x14ac:dyDescent="0.25">
      <c r="A29" s="68" t="s">
        <v>46</v>
      </c>
      <c r="C29" s="89"/>
      <c r="D29" s="70"/>
      <c r="E29" s="70"/>
      <c r="F29" s="70"/>
      <c r="G29" s="71"/>
      <c r="H29" s="71"/>
      <c r="I29" s="73"/>
      <c r="J29" s="73"/>
      <c r="K29" s="73"/>
      <c r="L29" s="228"/>
      <c r="M29" s="72"/>
      <c r="N29" s="72"/>
      <c r="O29" s="72"/>
      <c r="P29" s="72"/>
      <c r="Q29" s="72"/>
      <c r="R29" s="549"/>
    </row>
    <row r="30" spans="1:18" s="69" customFormat="1" x14ac:dyDescent="0.25">
      <c r="A30" s="74" t="s">
        <v>562</v>
      </c>
      <c r="C30" s="75"/>
      <c r="D30" s="519"/>
      <c r="E30" s="519"/>
      <c r="F30" s="519"/>
      <c r="G30" s="519"/>
      <c r="H30" s="519"/>
      <c r="I30" s="519"/>
      <c r="J30" s="519"/>
      <c r="K30" s="519"/>
      <c r="L30" s="519"/>
      <c r="M30" s="519"/>
      <c r="N30" s="519"/>
      <c r="O30" s="519"/>
      <c r="P30" s="519"/>
      <c r="Q30" s="519"/>
      <c r="R30" s="549"/>
    </row>
    <row r="31" spans="1:18" s="69" customFormat="1" x14ac:dyDescent="0.25">
      <c r="B31" s="69" t="s">
        <v>47</v>
      </c>
      <c r="C31" s="75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49"/>
    </row>
    <row r="32" spans="1:18" s="69" customFormat="1" x14ac:dyDescent="0.25">
      <c r="B32" s="69" t="s">
        <v>48</v>
      </c>
      <c r="C32" s="75"/>
      <c r="D32" s="99">
        <v>16.5</v>
      </c>
      <c r="E32" s="99">
        <v>17</v>
      </c>
      <c r="F32" s="99">
        <v>22</v>
      </c>
      <c r="G32" s="99">
        <v>25.514297429755331</v>
      </c>
      <c r="H32" s="99">
        <v>25.503889893930406</v>
      </c>
      <c r="I32" s="99">
        <v>25.503889893930406</v>
      </c>
      <c r="J32" s="99">
        <v>25.503889893930406</v>
      </c>
      <c r="K32" s="99">
        <v>25.503889893930406</v>
      </c>
      <c r="L32" s="99">
        <v>25.505889894025401</v>
      </c>
      <c r="M32" s="99">
        <v>25.505889894025401</v>
      </c>
      <c r="N32" s="99">
        <v>25.505889894258232</v>
      </c>
      <c r="O32" s="99">
        <v>25.505889894491062</v>
      </c>
      <c r="P32" s="99">
        <v>25.505889894491062</v>
      </c>
      <c r="Q32" s="99">
        <v>25.505889894491062</v>
      </c>
      <c r="R32" s="549"/>
    </row>
    <row r="33" spans="1:18" s="69" customFormat="1" x14ac:dyDescent="0.25">
      <c r="B33" s="69" t="s">
        <v>49</v>
      </c>
      <c r="C33" s="75"/>
      <c r="D33" s="99">
        <v>99677</v>
      </c>
      <c r="E33" s="99">
        <v>117060</v>
      </c>
      <c r="F33" s="99">
        <v>172404</v>
      </c>
      <c r="G33" s="99">
        <v>240906</v>
      </c>
      <c r="H33" s="99">
        <v>247298</v>
      </c>
      <c r="I33" s="99">
        <v>247298</v>
      </c>
      <c r="J33" s="99">
        <v>247298</v>
      </c>
      <c r="K33" s="99">
        <v>247298</v>
      </c>
      <c r="L33" s="99">
        <f>K33</f>
        <v>247298</v>
      </c>
      <c r="M33" s="99">
        <v>253690</v>
      </c>
      <c r="N33" s="99">
        <v>260082</v>
      </c>
      <c r="O33" s="99">
        <v>266474</v>
      </c>
      <c r="P33" s="99">
        <v>266474</v>
      </c>
      <c r="Q33" s="99">
        <v>266474</v>
      </c>
      <c r="R33" s="549"/>
    </row>
    <row r="34" spans="1:18" s="69" customFormat="1" x14ac:dyDescent="0.25">
      <c r="B34" s="69" t="s">
        <v>50</v>
      </c>
      <c r="C34" s="75"/>
      <c r="D34" s="544">
        <v>25494.689999999944</v>
      </c>
      <c r="E34" s="544">
        <v>-24924.190999999992</v>
      </c>
      <c r="F34" s="544">
        <v>-111659.94799999997</v>
      </c>
      <c r="G34" s="544">
        <v>-210301.81429742975</v>
      </c>
      <c r="H34" s="544">
        <v>-246557.15798468748</v>
      </c>
      <c r="I34" s="544">
        <v>-253337.54324846697</v>
      </c>
      <c r="J34" s="544">
        <v>-260117.92851224646</v>
      </c>
      <c r="K34" s="544">
        <v>-266898.3137760259</v>
      </c>
      <c r="L34" s="544">
        <v>-273678.70103980543</v>
      </c>
      <c r="M34" s="544">
        <v>-311152.33888929326</v>
      </c>
      <c r="N34" s="544">
        <v>-351390.32823181979</v>
      </c>
      <c r="O34" s="544">
        <v>-394101.40839855728</v>
      </c>
      <c r="P34" s="544">
        <v>-430849.2848735149</v>
      </c>
      <c r="Q34" s="544">
        <v>-467596.98217287223</v>
      </c>
      <c r="R34" s="548" t="s">
        <v>520</v>
      </c>
    </row>
    <row r="35" spans="1:18" s="69" customFormat="1" x14ac:dyDescent="0.25">
      <c r="B35" s="74" t="s">
        <v>51</v>
      </c>
      <c r="C35" s="75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/>
    </row>
    <row r="36" spans="1:18" s="81" customFormat="1" x14ac:dyDescent="0.25">
      <c r="A36" s="69" t="s">
        <v>563</v>
      </c>
      <c r="B36" s="69"/>
      <c r="C36" s="75"/>
      <c r="D36" s="82">
        <f t="shared" ref="D36:Q36" si="6">SUM(D31,D32,D33,D34,D35)</f>
        <v>125188.18999999994</v>
      </c>
      <c r="E36" s="82">
        <f t="shared" si="6"/>
        <v>92152.809000000008</v>
      </c>
      <c r="F36" s="82">
        <f t="shared" si="6"/>
        <v>60766.052000000025</v>
      </c>
      <c r="G36" s="82">
        <f t="shared" si="6"/>
        <v>30629.700000000012</v>
      </c>
      <c r="H36" s="82">
        <f t="shared" si="6"/>
        <v>766.34590520645725</v>
      </c>
      <c r="I36" s="82">
        <f t="shared" si="6"/>
        <v>-6014.0393585730344</v>
      </c>
      <c r="J36" s="82">
        <f t="shared" si="6"/>
        <v>-12794.424622352526</v>
      </c>
      <c r="K36" s="82">
        <f t="shared" si="6"/>
        <v>-19574.80988613196</v>
      </c>
      <c r="L36" s="82">
        <f t="shared" si="6"/>
        <v>-26355.195149911393</v>
      </c>
      <c r="M36" s="82">
        <f t="shared" si="6"/>
        <v>-57436.832999399223</v>
      </c>
      <c r="N36" s="82">
        <f t="shared" si="6"/>
        <v>-91282.822341925523</v>
      </c>
      <c r="O36" s="82">
        <f t="shared" si="6"/>
        <v>-127601.90250866278</v>
      </c>
      <c r="P36" s="82">
        <f t="shared" si="6"/>
        <v>-164349.7789836204</v>
      </c>
      <c r="Q36" s="82">
        <f t="shared" si="6"/>
        <v>-201097.47628297773</v>
      </c>
      <c r="R36"/>
    </row>
    <row r="37" spans="1:18" s="69" customFormat="1" x14ac:dyDescent="0.25">
      <c r="B37" s="74" t="s">
        <v>52</v>
      </c>
      <c r="C37" s="75"/>
      <c r="D37" s="99">
        <v>8618</v>
      </c>
      <c r="E37" s="99">
        <v>8724</v>
      </c>
      <c r="F37" s="99">
        <v>11469</v>
      </c>
      <c r="G37" s="99">
        <v>13569.611000000001</v>
      </c>
      <c r="H37" s="99">
        <v>17562.803682842627</v>
      </c>
      <c r="I37" s="99">
        <v>17562.803682842627</v>
      </c>
      <c r="J37" s="99">
        <v>17562.803682842627</v>
      </c>
      <c r="K37" s="99">
        <v>17562.803682842627</v>
      </c>
      <c r="L37" s="99">
        <f>K37</f>
        <v>17562.803682842627</v>
      </c>
      <c r="M37" s="99">
        <v>20619.935477212552</v>
      </c>
      <c r="N37" s="99">
        <v>24746.285236212865</v>
      </c>
      <c r="O37" s="99">
        <v>29709.488927992581</v>
      </c>
      <c r="P37" s="99">
        <v>29709.488927992581</v>
      </c>
      <c r="Q37" s="99">
        <v>29709.488927992581</v>
      </c>
      <c r="R37"/>
    </row>
    <row r="38" spans="1:18" s="81" customFormat="1" x14ac:dyDescent="0.25">
      <c r="A38" s="68" t="s">
        <v>53</v>
      </c>
      <c r="B38" s="69"/>
      <c r="C38" s="89"/>
      <c r="D38" s="82">
        <f t="shared" ref="D38:Q38" si="7">SUM(D36,D37)</f>
        <v>133806.18999999994</v>
      </c>
      <c r="E38" s="82">
        <f t="shared" si="7"/>
        <v>100876.80900000001</v>
      </c>
      <c r="F38" s="82">
        <f t="shared" si="7"/>
        <v>72235.052000000025</v>
      </c>
      <c r="G38" s="82">
        <f t="shared" si="7"/>
        <v>44199.311000000016</v>
      </c>
      <c r="H38" s="82">
        <f t="shared" si="7"/>
        <v>18329.149588049084</v>
      </c>
      <c r="I38" s="82">
        <f t="shared" si="7"/>
        <v>11548.764324269592</v>
      </c>
      <c r="J38" s="82">
        <f t="shared" si="7"/>
        <v>4768.3790604901005</v>
      </c>
      <c r="K38" s="82">
        <f t="shared" si="7"/>
        <v>-2012.0062032893329</v>
      </c>
      <c r="L38" s="82">
        <f t="shared" si="7"/>
        <v>-8792.3914670687664</v>
      </c>
      <c r="M38" s="82">
        <f t="shared" si="7"/>
        <v>-36816.897522186671</v>
      </c>
      <c r="N38" s="82">
        <f t="shared" si="7"/>
        <v>-66536.537105712661</v>
      </c>
      <c r="O38" s="82">
        <f t="shared" si="7"/>
        <v>-97892.413580670196</v>
      </c>
      <c r="P38" s="82">
        <f t="shared" si="7"/>
        <v>-134640.29005562782</v>
      </c>
      <c r="Q38" s="82">
        <f t="shared" si="7"/>
        <v>-171387.98735498515</v>
      </c>
      <c r="R38"/>
    </row>
    <row r="39" spans="1:18" s="19" customFormat="1" x14ac:dyDescent="0.25">
      <c r="A39" s="31" t="s">
        <v>54</v>
      </c>
      <c r="B39" s="14"/>
      <c r="C39" s="89"/>
      <c r="D39" s="20">
        <f t="shared" ref="D39:Q39" si="8">SUM(D27,D38)</f>
        <v>462479.68999999994</v>
      </c>
      <c r="E39" s="20">
        <f t="shared" si="8"/>
        <v>428714.80900000001</v>
      </c>
      <c r="F39" s="20">
        <f t="shared" si="8"/>
        <v>382398.152</v>
      </c>
      <c r="G39" s="20">
        <f t="shared" si="8"/>
        <v>353727.98600000003</v>
      </c>
      <c r="H39" s="20">
        <f t="shared" si="8"/>
        <v>255686.3839666064</v>
      </c>
      <c r="I39" s="20">
        <f t="shared" si="8"/>
        <v>248905.99870282691</v>
      </c>
      <c r="J39" s="20">
        <f t="shared" si="8"/>
        <v>242125.61343904742</v>
      </c>
      <c r="K39" s="20">
        <f t="shared" si="8"/>
        <v>235345.22817526798</v>
      </c>
      <c r="L39" s="20">
        <f t="shared" si="8"/>
        <v>228564.84291148855</v>
      </c>
      <c r="M39" s="20">
        <f t="shared" si="8"/>
        <v>200813.83660221705</v>
      </c>
      <c r="N39" s="20">
        <f t="shared" si="8"/>
        <v>171486.46651155621</v>
      </c>
      <c r="O39" s="20">
        <f t="shared" si="8"/>
        <v>140335.68241573879</v>
      </c>
      <c r="P39" s="20">
        <f t="shared" si="8"/>
        <v>103587.80594078117</v>
      </c>
      <c r="Q39" s="20">
        <f t="shared" si="8"/>
        <v>66840.108641423838</v>
      </c>
      <c r="R39"/>
    </row>
    <row r="40" spans="1:18" x14ac:dyDescent="0.25">
      <c r="H40"/>
      <c r="M40"/>
      <c r="N40"/>
      <c r="O40"/>
      <c r="P40"/>
      <c r="Q40"/>
    </row>
    <row r="41" spans="1:18" x14ac:dyDescent="0.25">
      <c r="A41" t="s">
        <v>107</v>
      </c>
      <c r="D41" s="20">
        <f>SUM(D5,D7,D8,D9,D16)-SUM(D21,D23)</f>
        <v>522362.18999999994</v>
      </c>
      <c r="E41" s="20">
        <f>SUM(E5,E7,E8,E9,E16)-SUM(E21,E23)</f>
        <v>489580.80900000001</v>
      </c>
      <c r="F41" s="20">
        <f>SUM(F5,F7,F8,F9,F16)-SUM(F21,F23)</f>
        <v>444184.05200000003</v>
      </c>
      <c r="G41" s="20">
        <f>SUM(G5,G7,G8,G9,G16)-SUM(G21,G23)</f>
        <v>416700.41600000003</v>
      </c>
      <c r="H41" s="20">
        <f>SUM(H5,H7,H8,H9,H16)-SUM(H21,H23)</f>
        <v>319080.25458804902</v>
      </c>
      <c r="I41" s="20"/>
      <c r="J41" s="20"/>
      <c r="K41" s="20"/>
      <c r="L41" s="20"/>
      <c r="M41" s="20">
        <f>SUM(M5,M7,M8,M9,M16)-SUM(M21,M23)</f>
        <v>196210.20747781332</v>
      </c>
      <c r="N41" s="20">
        <f>SUM(N5,N7,N8,N9,N16)-SUM(N21,N23)</f>
        <v>166490.56789428735</v>
      </c>
      <c r="O41" s="20">
        <f>SUM(O5,O7,O8,O9,O16)-SUM(O21,O23)</f>
        <v>135134.69141932976</v>
      </c>
      <c r="P41" s="20">
        <f>SUM(P5,P7,P8,P9,P16)-SUM(P21,P23)</f>
        <v>98386.814944372178</v>
      </c>
      <c r="Q41" s="20">
        <f>SUM(Q5,Q7,Q8,Q9,Q16)-SUM(Q21,Q23)</f>
        <v>61639.117645014798</v>
      </c>
    </row>
    <row r="43" spans="1:18" s="449" customFormat="1" ht="9" collapsed="1" x14ac:dyDescent="0.15">
      <c r="A43" s="446" t="s">
        <v>55</v>
      </c>
      <c r="C43" s="89"/>
      <c r="D43" s="443">
        <f t="shared" ref="D43:Q43" si="9">D17-D39</f>
        <v>67724</v>
      </c>
      <c r="E43" s="443">
        <f t="shared" si="9"/>
        <v>67724</v>
      </c>
      <c r="F43" s="443">
        <f t="shared" si="9"/>
        <v>67724</v>
      </c>
      <c r="G43" s="443">
        <f t="shared" si="9"/>
        <v>67724</v>
      </c>
      <c r="H43" s="443">
        <f t="shared" si="9"/>
        <v>67723.999999999942</v>
      </c>
      <c r="I43" s="443">
        <f t="shared" si="9"/>
        <v>67723.999999999942</v>
      </c>
      <c r="J43" s="443">
        <f t="shared" si="9"/>
        <v>67723.999999999942</v>
      </c>
      <c r="K43" s="443">
        <f t="shared" si="9"/>
        <v>67723.999999999942</v>
      </c>
      <c r="L43" s="443">
        <f t="shared" si="9"/>
        <v>67723.999999999942</v>
      </c>
      <c r="M43" s="443">
        <f t="shared" si="9"/>
        <v>0</v>
      </c>
      <c r="N43" s="443">
        <f t="shared" si="9"/>
        <v>0</v>
      </c>
      <c r="O43" s="443">
        <f t="shared" si="9"/>
        <v>0</v>
      </c>
      <c r="P43" s="443">
        <f t="shared" si="9"/>
        <v>0</v>
      </c>
      <c r="Q43" s="443">
        <f t="shared" si="9"/>
        <v>0</v>
      </c>
      <c r="R43" s="450"/>
    </row>
    <row r="45" spans="1:18" x14ac:dyDescent="0.25">
      <c r="A45" s="558" t="s">
        <v>521</v>
      </c>
      <c r="B45" s="559"/>
      <c r="C45" s="552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3"/>
    </row>
    <row r="46" spans="1:18" x14ac:dyDescent="0.25">
      <c r="A46" s="560"/>
      <c r="B46" s="561" t="s">
        <v>518</v>
      </c>
      <c r="C46" s="550"/>
      <c r="D46" s="564">
        <v>0</v>
      </c>
      <c r="E46" s="564">
        <v>0</v>
      </c>
      <c r="F46" s="564">
        <v>0</v>
      </c>
      <c r="G46" s="564">
        <v>0</v>
      </c>
      <c r="H46" s="564">
        <v>0</v>
      </c>
      <c r="I46" s="564">
        <v>0</v>
      </c>
      <c r="J46" s="564">
        <v>0</v>
      </c>
      <c r="K46" s="564">
        <v>0</v>
      </c>
      <c r="L46" s="564">
        <v>0</v>
      </c>
      <c r="M46" s="564">
        <v>0</v>
      </c>
      <c r="N46" s="564">
        <v>0</v>
      </c>
      <c r="O46" s="564">
        <v>0</v>
      </c>
      <c r="P46" s="564">
        <v>0</v>
      </c>
      <c r="Q46" s="564">
        <v>0</v>
      </c>
      <c r="R46" s="554"/>
    </row>
    <row r="47" spans="1:18" x14ac:dyDescent="0.25">
      <c r="A47" s="560"/>
      <c r="B47" s="561" t="s">
        <v>517</v>
      </c>
      <c r="C47" s="550"/>
      <c r="D47" s="565">
        <v>0</v>
      </c>
      <c r="E47" s="565">
        <v>0</v>
      </c>
      <c r="F47" s="565">
        <v>0</v>
      </c>
      <c r="G47" s="565">
        <v>0</v>
      </c>
      <c r="H47" s="565">
        <v>0</v>
      </c>
      <c r="I47" s="565">
        <v>0</v>
      </c>
      <c r="J47" s="565">
        <v>0</v>
      </c>
      <c r="K47" s="565">
        <v>0</v>
      </c>
      <c r="L47" s="565">
        <v>0</v>
      </c>
      <c r="M47" s="565">
        <v>0</v>
      </c>
      <c r="N47" s="565">
        <v>0</v>
      </c>
      <c r="O47" s="565">
        <v>0</v>
      </c>
      <c r="P47" s="565">
        <v>0</v>
      </c>
      <c r="Q47" s="565">
        <v>0</v>
      </c>
      <c r="R47" s="554"/>
    </row>
    <row r="48" spans="1:18" x14ac:dyDescent="0.25">
      <c r="A48" s="560"/>
      <c r="B48" s="561" t="s">
        <v>516</v>
      </c>
      <c r="C48" s="550"/>
      <c r="D48" s="565">
        <v>0</v>
      </c>
      <c r="E48" s="565">
        <v>0</v>
      </c>
      <c r="F48" s="565">
        <v>0</v>
      </c>
      <c r="G48" s="565">
        <v>0</v>
      </c>
      <c r="H48" s="565">
        <v>0</v>
      </c>
      <c r="I48" s="565">
        <v>0</v>
      </c>
      <c r="J48" s="565">
        <v>0</v>
      </c>
      <c r="K48" s="565">
        <v>0</v>
      </c>
      <c r="L48" s="565">
        <v>0</v>
      </c>
      <c r="M48" s="565">
        <v>0</v>
      </c>
      <c r="N48" s="565">
        <v>0</v>
      </c>
      <c r="O48" s="565">
        <v>0</v>
      </c>
      <c r="P48" s="565">
        <v>0</v>
      </c>
      <c r="Q48" s="565">
        <v>0</v>
      </c>
      <c r="R48" s="554"/>
    </row>
    <row r="49" spans="1:18" x14ac:dyDescent="0.25">
      <c r="A49" s="562"/>
      <c r="B49" s="563"/>
      <c r="C49" s="556"/>
      <c r="D49" s="555"/>
      <c r="E49" s="555"/>
      <c r="F49" s="555"/>
      <c r="G49" s="555"/>
      <c r="H49" s="555"/>
      <c r="I49" s="555"/>
      <c r="J49" s="555"/>
      <c r="K49" s="555"/>
      <c r="L49" s="555"/>
      <c r="M49" s="555"/>
      <c r="N49" s="555"/>
      <c r="O49" s="555"/>
      <c r="P49" s="555"/>
      <c r="Q49" s="555"/>
      <c r="R49" s="557"/>
    </row>
  </sheetData>
  <sheetProtection algorithmName="SHA-512" hashValue="Vhif3CzK4EgINIvK7zxOVErrWnV+etkmlm89qcwGZ5yeOUef54ntVv1vevbR41Jm3QnttE74mqEDX0hNgSdVcw==" saltValue="taqlaGCFmPwUWuDiZDU35A==" spinCount="100000" sheet="1" objects="1" scenarios="1"/>
  <conditionalFormatting sqref="D43:Q43">
    <cfRule type="cellIs" dxfId="2" priority="1" operator="notBetween">
      <formula>-1</formula>
      <formula>1</formula>
    </cfRule>
  </conditionalFormatting>
  <pageMargins left="0.7" right="0.7" top="0.75" bottom="0.75" header="0.3" footer="0.3"/>
  <pageSetup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 tint="-0.34998626667073579"/>
  </sheetPr>
  <dimension ref="A1:R53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6.140625" customWidth="1"/>
    <col min="2" max="2" width="41.28515625" customWidth="1"/>
    <col min="3" max="3" width="2.28515625" style="2" bestFit="1" customWidth="1"/>
    <col min="4" max="7" width="9.85546875" bestFit="1" customWidth="1"/>
    <col min="8" max="8" width="9.85546875" style="36" bestFit="1" customWidth="1"/>
    <col min="9" max="12" width="9" bestFit="1" customWidth="1"/>
    <col min="13" max="13" width="9" style="36" bestFit="1" customWidth="1"/>
    <col min="14" max="15" width="9.85546875" style="36" bestFit="1" customWidth="1"/>
    <col min="16" max="17" width="10.5703125" style="36" bestFit="1" customWidth="1"/>
    <col min="18" max="18" width="10.5703125" bestFit="1" customWidth="1"/>
  </cols>
  <sheetData>
    <row r="1" spans="1:18" x14ac:dyDescent="0.25">
      <c r="A1" s="429" t="s">
        <v>566</v>
      </c>
      <c r="H1"/>
      <c r="M1"/>
      <c r="N1"/>
      <c r="O1"/>
      <c r="P1"/>
      <c r="Q1"/>
    </row>
    <row r="2" spans="1:18" ht="15.75" thickBot="1" x14ac:dyDescent="0.3">
      <c r="A2" s="430" t="s">
        <v>99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14"/>
    </row>
    <row r="3" spans="1:18" ht="15.75" thickBot="1" x14ac:dyDescent="0.3">
      <c r="C3" s="6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14"/>
    </row>
    <row r="4" spans="1:18" s="37" customFormat="1" x14ac:dyDescent="0.25">
      <c r="A4" s="1" t="s">
        <v>56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 s="14"/>
    </row>
    <row r="5" spans="1:18" s="37" customFormat="1" x14ac:dyDescent="0.25">
      <c r="B5" s="37" t="s">
        <v>57</v>
      </c>
      <c r="C5" s="102"/>
      <c r="D5" s="123">
        <f>CORPpl!D21</f>
        <v>-37993.30999999999</v>
      </c>
      <c r="E5" s="123">
        <f>CORPpl!E21</f>
        <v>-88985.97099999999</v>
      </c>
      <c r="F5" s="123">
        <f>CORPpl!F21</f>
        <v>-31638.853999999999</v>
      </c>
      <c r="G5" s="123">
        <f>CORPpl!G21</f>
        <v>-29505.589999999993</v>
      </c>
      <c r="H5" s="123">
        <f>CORPpl!H21</f>
        <v>-30272.498411951015</v>
      </c>
      <c r="I5" s="123">
        <f>CORPpl!I21</f>
        <v>-10117.179901279464</v>
      </c>
      <c r="J5" s="123">
        <f>CORPpl!J21</f>
        <v>-10117.179901279464</v>
      </c>
      <c r="K5" s="123">
        <f>CORPpl!K21</f>
        <v>-10117.179901279464</v>
      </c>
      <c r="L5" s="123">
        <f>CORPpl!L21</f>
        <v>-10117.179901279464</v>
      </c>
      <c r="M5" s="123">
        <f>CORPpl!M21</f>
        <v>-35518.719605117854</v>
      </c>
      <c r="N5" s="123">
        <f>CORPpl!N21</f>
        <v>-37143.207583525953</v>
      </c>
      <c r="O5" s="123">
        <f>CORPpl!O21</f>
        <v>-37888.194074957573</v>
      </c>
      <c r="P5" s="123">
        <f>CORPpl!P21</f>
        <v>-37888.194074957573</v>
      </c>
      <c r="Q5" s="123">
        <f>CORPpl!Q21</f>
        <v>-37888.194074957573</v>
      </c>
      <c r="R5" s="14"/>
    </row>
    <row r="6" spans="1:18" s="37" customFormat="1" x14ac:dyDescent="0.25">
      <c r="B6" s="37" t="s">
        <v>42</v>
      </c>
      <c r="C6" s="102"/>
      <c r="D6" s="123">
        <f>CORPbs!D24-CORPbs!C24</f>
        <v>0</v>
      </c>
      <c r="E6" s="123">
        <f>CORPbs!E24-CORPbs!D24</f>
        <v>0</v>
      </c>
      <c r="F6" s="123">
        <f>CORPbs!F24-CORPbs!E24</f>
        <v>0</v>
      </c>
      <c r="G6" s="123">
        <f>CORPbs!G24-CORPbs!F24</f>
        <v>0</v>
      </c>
      <c r="H6" s="123">
        <f>CORPbs!H24-CORPbs!G24</f>
        <v>0</v>
      </c>
      <c r="I6" s="123">
        <f>CORPbs!I24-CORPbs!H24</f>
        <v>0</v>
      </c>
      <c r="J6" s="123">
        <f>CORPbs!J24-CORPbs!I24</f>
        <v>0</v>
      </c>
      <c r="K6" s="123">
        <f>CORPbs!K24-CORPbs!J24</f>
        <v>0</v>
      </c>
      <c r="L6" s="123">
        <f>CORPbs!L24-CORPbs!K24</f>
        <v>0</v>
      </c>
      <c r="M6" s="123">
        <f>CORPbs!M24-CORPbs!L24</f>
        <v>0</v>
      </c>
      <c r="N6" s="123">
        <f>CORPbs!N24-CORPbs!M24</f>
        <v>0</v>
      </c>
      <c r="O6" s="123">
        <f>CORPbs!O24-CORPbs!N24</f>
        <v>0</v>
      </c>
      <c r="P6" s="123">
        <f>CORPbs!P24-CORPbs!O24</f>
        <v>0</v>
      </c>
      <c r="Q6" s="123">
        <f>CORPbs!Q24-CORPbs!P24</f>
        <v>0</v>
      </c>
      <c r="R6" s="14"/>
    </row>
    <row r="7" spans="1:18" s="37" customFormat="1" x14ac:dyDescent="0.25">
      <c r="B7" s="37" t="s">
        <v>58</v>
      </c>
      <c r="C7" s="102"/>
      <c r="D7" s="123">
        <f>CORPpl!D12</f>
        <v>668</v>
      </c>
      <c r="E7" s="123">
        <f>CORPpl!E12</f>
        <v>1543.7950000000001</v>
      </c>
      <c r="F7" s="123">
        <f>CORPpl!F12</f>
        <v>2062.8220000000001</v>
      </c>
      <c r="G7" s="123">
        <f>CORPpl!G12</f>
        <v>2678.2780000000002</v>
      </c>
      <c r="H7" s="123">
        <f>CORPpl!H12</f>
        <v>2906</v>
      </c>
      <c r="I7" s="123">
        <f>CORPpl!I12</f>
        <v>2750</v>
      </c>
      <c r="J7" s="123">
        <f>CORPpl!J12</f>
        <v>2750</v>
      </c>
      <c r="K7" s="123">
        <f>CORPpl!K12</f>
        <v>2750</v>
      </c>
      <c r="L7" s="123">
        <f>CORPpl!L12</f>
        <v>2750</v>
      </c>
      <c r="M7" s="123">
        <f>CORPpl!M12</f>
        <v>2750</v>
      </c>
      <c r="N7" s="123">
        <f>CORPpl!N12</f>
        <v>2500</v>
      </c>
      <c r="O7" s="123">
        <f>CORPpl!O12</f>
        <v>2000</v>
      </c>
      <c r="P7" s="123">
        <f>CORPpl!P12</f>
        <v>2000</v>
      </c>
      <c r="Q7" s="123">
        <f>CORPpl!Q12</f>
        <v>2000</v>
      </c>
      <c r="R7" s="14"/>
    </row>
    <row r="8" spans="1:18" s="37" customFormat="1" x14ac:dyDescent="0.25">
      <c r="B8" s="37" t="s">
        <v>59</v>
      </c>
      <c r="C8" s="102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4"/>
    </row>
    <row r="9" spans="1:18" s="37" customFormat="1" x14ac:dyDescent="0.25">
      <c r="B9" s="37" t="s">
        <v>8</v>
      </c>
      <c r="C9" s="102"/>
      <c r="D9" s="123">
        <f>CORPpl!D11</f>
        <v>2302</v>
      </c>
      <c r="E9" s="123">
        <f>CORPpl!E11</f>
        <v>55667</v>
      </c>
      <c r="F9" s="123">
        <f>CORPpl!F11</f>
        <v>-11870.047</v>
      </c>
      <c r="G9" s="123">
        <f>CORPpl!G11</f>
        <v>0</v>
      </c>
      <c r="H9" s="123">
        <f>CORPpl!H11</f>
        <v>0</v>
      </c>
      <c r="I9" s="123">
        <f>CORPpl!I11</f>
        <v>0</v>
      </c>
      <c r="J9" s="123">
        <f>CORPpl!J11</f>
        <v>0</v>
      </c>
      <c r="K9" s="123">
        <f>CORPpl!K11</f>
        <v>0</v>
      </c>
      <c r="L9" s="123">
        <f>CORPpl!L11</f>
        <v>0</v>
      </c>
      <c r="M9" s="123">
        <f>CORPpl!M11</f>
        <v>0</v>
      </c>
      <c r="N9" s="123">
        <f>CORPpl!N11</f>
        <v>0</v>
      </c>
      <c r="O9" s="123">
        <f>CORPpl!O11</f>
        <v>0</v>
      </c>
      <c r="P9" s="123">
        <f>CORPpl!P11</f>
        <v>0</v>
      </c>
      <c r="Q9" s="123">
        <f>CORPpl!Q11</f>
        <v>0</v>
      </c>
      <c r="R9" s="14"/>
    </row>
    <row r="10" spans="1:18" s="37" customFormat="1" x14ac:dyDescent="0.25">
      <c r="B10" s="37" t="s">
        <v>60</v>
      </c>
      <c r="C10" s="102"/>
      <c r="D10" s="123">
        <f>-CORPpl!D20</f>
        <v>0</v>
      </c>
      <c r="E10" s="123">
        <f>-CORPpl!E20</f>
        <v>0</v>
      </c>
      <c r="F10" s="123">
        <f>-CORPpl!F20</f>
        <v>0</v>
      </c>
      <c r="G10" s="123">
        <f>-CORPpl!G20</f>
        <v>0</v>
      </c>
      <c r="H10" s="123">
        <f>-CORPpl!H20</f>
        <v>0</v>
      </c>
      <c r="I10" s="123">
        <f>-CORPpl!I20</f>
        <v>0</v>
      </c>
      <c r="J10" s="123">
        <f>-CORPpl!J20</f>
        <v>0</v>
      </c>
      <c r="K10" s="123">
        <f>-CORPpl!K20</f>
        <v>0</v>
      </c>
      <c r="L10" s="123">
        <f>-CORPpl!L20</f>
        <v>0</v>
      </c>
      <c r="M10" s="123">
        <f>-CORPpl!M20</f>
        <v>0</v>
      </c>
      <c r="N10" s="123">
        <f>-CORPpl!N20</f>
        <v>0</v>
      </c>
      <c r="O10" s="123">
        <f>-CORPpl!O20</f>
        <v>0</v>
      </c>
      <c r="P10" s="123">
        <f>-CORPpl!P20</f>
        <v>0</v>
      </c>
      <c r="Q10" s="123">
        <f>-CORPpl!Q20</f>
        <v>0</v>
      </c>
      <c r="R10" s="14"/>
    </row>
    <row r="11" spans="1:18" s="97" customFormat="1" x14ac:dyDescent="0.25">
      <c r="A11" s="104" t="s">
        <v>61</v>
      </c>
      <c r="B11" s="37"/>
      <c r="C11" s="91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14"/>
    </row>
    <row r="12" spans="1:18" s="37" customFormat="1" x14ac:dyDescent="0.25">
      <c r="B12" s="37" t="s">
        <v>98</v>
      </c>
      <c r="C12" s="102"/>
      <c r="D12" s="124"/>
      <c r="E12" s="123">
        <f>CORPbs!D7-CORPbs!E7</f>
        <v>0</v>
      </c>
      <c r="F12" s="123">
        <f>CORPbs!E7-CORPbs!F7</f>
        <v>0</v>
      </c>
      <c r="G12" s="123">
        <f>CORPbs!F7-CORPbs!G7</f>
        <v>0</v>
      </c>
      <c r="H12" s="123">
        <f>CORPbs!G7-CORPbs!H7</f>
        <v>0</v>
      </c>
      <c r="I12" s="123">
        <f>CORPbs!H7-CORPbs!I7</f>
        <v>0</v>
      </c>
      <c r="J12" s="123">
        <f>CORPbs!I7-CORPbs!J7</f>
        <v>0</v>
      </c>
      <c r="K12" s="123">
        <f>CORPbs!J7-CORPbs!K7</f>
        <v>0</v>
      </c>
      <c r="L12" s="123">
        <f>CORPbs!K7-CORPbs!L7</f>
        <v>0</v>
      </c>
      <c r="M12" s="123">
        <f>CORPbs!L7-CORPbs!M7</f>
        <v>0</v>
      </c>
      <c r="N12" s="123">
        <f>CORPbs!M7-CORPbs!N7</f>
        <v>0</v>
      </c>
      <c r="O12" s="123">
        <f>CORPbs!N7-CORPbs!O7</f>
        <v>0</v>
      </c>
      <c r="P12" s="123">
        <f>CORPbs!O7-CORPbs!P7</f>
        <v>0</v>
      </c>
      <c r="Q12" s="123">
        <f>CORPbs!P7-CORPbs!Q7</f>
        <v>0</v>
      </c>
      <c r="R12" s="14"/>
    </row>
    <row r="13" spans="1:18" s="37" customFormat="1" x14ac:dyDescent="0.25">
      <c r="B13" s="37" t="s">
        <v>62</v>
      </c>
      <c r="C13" s="102"/>
      <c r="D13" s="124"/>
      <c r="E13" s="123">
        <f>CORPbs!D8-CORPbs!E8</f>
        <v>0</v>
      </c>
      <c r="F13" s="123">
        <f>CORPbs!E8-CORPbs!F8</f>
        <v>0</v>
      </c>
      <c r="G13" s="123">
        <f>CORPbs!F8-CORPbs!G8</f>
        <v>0</v>
      </c>
      <c r="H13" s="123">
        <f>CORPbs!G8-CORPbs!H8</f>
        <v>0</v>
      </c>
      <c r="I13" s="123">
        <f>CORPbs!H8-CORPbs!I8</f>
        <v>0</v>
      </c>
      <c r="J13" s="123">
        <f>CORPbs!I8-CORPbs!J8</f>
        <v>0</v>
      </c>
      <c r="K13" s="123">
        <f>CORPbs!J8-CORPbs!K8</f>
        <v>0</v>
      </c>
      <c r="L13" s="123">
        <f>CORPbs!K8-CORPbs!L8</f>
        <v>0</v>
      </c>
      <c r="M13" s="123">
        <f>CORPbs!L8-CORPbs!M8</f>
        <v>0</v>
      </c>
      <c r="N13" s="123">
        <f>CORPbs!M8-CORPbs!N8</f>
        <v>0</v>
      </c>
      <c r="O13" s="123">
        <f>CORPbs!N8-CORPbs!O8</f>
        <v>0</v>
      </c>
      <c r="P13" s="123">
        <f>CORPbs!O8-CORPbs!P8</f>
        <v>0</v>
      </c>
      <c r="Q13" s="123">
        <f>CORPbs!P8-CORPbs!Q8</f>
        <v>0</v>
      </c>
      <c r="R13" s="14"/>
    </row>
    <row r="14" spans="1:18" s="37" customFormat="1" x14ac:dyDescent="0.25">
      <c r="B14" s="37" t="s">
        <v>30</v>
      </c>
      <c r="C14" s="102"/>
      <c r="D14" s="124"/>
      <c r="E14" s="123">
        <f>CORPbs!D9-CORPbs!E9</f>
        <v>0</v>
      </c>
      <c r="F14" s="123">
        <f>CORPbs!E9-CORPbs!F9</f>
        <v>0</v>
      </c>
      <c r="G14" s="123">
        <f>CORPbs!F9-CORPbs!G9</f>
        <v>0</v>
      </c>
      <c r="H14" s="123">
        <f>CORPbs!G9-CORPbs!H9</f>
        <v>0</v>
      </c>
      <c r="I14" s="123">
        <f>CORPbs!H9-CORPbs!I9</f>
        <v>0</v>
      </c>
      <c r="J14" s="123">
        <f>CORPbs!I9-CORPbs!J9</f>
        <v>0</v>
      </c>
      <c r="K14" s="123">
        <f>CORPbs!J9-CORPbs!K9</f>
        <v>0</v>
      </c>
      <c r="L14" s="123">
        <f>CORPbs!K9-CORPbs!L9</f>
        <v>0</v>
      </c>
      <c r="M14" s="123">
        <f>CORPbs!L9-CORPbs!M9</f>
        <v>0</v>
      </c>
      <c r="N14" s="123">
        <f>CORPbs!M9-CORPbs!N9</f>
        <v>0</v>
      </c>
      <c r="O14" s="123">
        <f>CORPbs!N9-CORPbs!O9</f>
        <v>0</v>
      </c>
      <c r="P14" s="123">
        <f>CORPbs!O9-CORPbs!P9</f>
        <v>0</v>
      </c>
      <c r="Q14" s="123">
        <f>CORPbs!P9-CORPbs!Q9</f>
        <v>0</v>
      </c>
      <c r="R14" s="14"/>
    </row>
    <row r="15" spans="1:18" s="37" customFormat="1" x14ac:dyDescent="0.25">
      <c r="B15" s="37" t="s">
        <v>97</v>
      </c>
      <c r="C15" s="102"/>
      <c r="D15" s="124"/>
      <c r="E15" s="123">
        <f>CORPbs!D16-CORPbs!E16</f>
        <v>2159</v>
      </c>
      <c r="F15" s="123">
        <f>CORPbs!E16-CORPbs!F16</f>
        <v>6223</v>
      </c>
      <c r="G15" s="123">
        <f>CORPbs!F16-CORPbs!G16</f>
        <v>8065.5596788374241</v>
      </c>
      <c r="H15" s="123">
        <f>CORPbs!G16-CORPbs!H16</f>
        <v>7606.0336797387863</v>
      </c>
      <c r="I15" s="123">
        <f>CORPbs!H16-CORPbs!I16</f>
        <v>0</v>
      </c>
      <c r="J15" s="123">
        <f>CORPbs!I16-CORPbs!J16</f>
        <v>0</v>
      </c>
      <c r="K15" s="123">
        <f>CORPbs!J16-CORPbs!K16</f>
        <v>0</v>
      </c>
      <c r="L15" s="123">
        <f>CORPbs!K16-CORPbs!L16</f>
        <v>0</v>
      </c>
      <c r="M15" s="123">
        <f>CORPbs!L16-CORPbs!M16</f>
        <v>3426.6689999999944</v>
      </c>
      <c r="N15" s="123">
        <f>CORPbs!M16-CORPbs!N16</f>
        <v>3280.7200000000012</v>
      </c>
      <c r="O15" s="123">
        <f>CORPbs!N16-CORPbs!O16</f>
        <v>3432.8040000000037</v>
      </c>
      <c r="P15" s="123">
        <f>CORPbs!O16-CORPbs!P16</f>
        <v>0</v>
      </c>
      <c r="Q15" s="123">
        <f>CORPbs!P16-CORPbs!Q16</f>
        <v>0</v>
      </c>
      <c r="R15" s="14"/>
    </row>
    <row r="16" spans="1:18" s="97" customFormat="1" x14ac:dyDescent="0.25">
      <c r="A16" s="104" t="s">
        <v>63</v>
      </c>
      <c r="B16" s="37"/>
      <c r="C16" s="91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14"/>
    </row>
    <row r="17" spans="1:18" s="37" customFormat="1" x14ac:dyDescent="0.25">
      <c r="B17" s="37" t="s">
        <v>124</v>
      </c>
      <c r="C17" s="102"/>
      <c r="D17" s="124"/>
      <c r="E17" s="123">
        <f>CORPbs!E21-CORPbs!D21</f>
        <v>0</v>
      </c>
      <c r="F17" s="123">
        <f>CORPbs!F21-CORPbs!E21</f>
        <v>0</v>
      </c>
      <c r="G17" s="123">
        <f>CORPbs!G21-CORPbs!F21</f>
        <v>0</v>
      </c>
      <c r="H17" s="123">
        <f>CORPbs!H21-CORPbs!G21</f>
        <v>0</v>
      </c>
      <c r="I17" s="123">
        <f>CORPbs!I21-CORPbs!H21</f>
        <v>0</v>
      </c>
      <c r="J17" s="123">
        <f>CORPbs!J21-CORPbs!I21</f>
        <v>0</v>
      </c>
      <c r="K17" s="123">
        <f>CORPbs!K21-CORPbs!J21</f>
        <v>0</v>
      </c>
      <c r="L17" s="123">
        <f>CORPbs!L21-CORPbs!K21</f>
        <v>0</v>
      </c>
      <c r="M17" s="123">
        <f>CORPbs!M21-CORPbs!L21</f>
        <v>0</v>
      </c>
      <c r="N17" s="123">
        <f>CORPbs!N21-CORPbs!M21</f>
        <v>0</v>
      </c>
      <c r="O17" s="123">
        <f>CORPbs!O21-CORPbs!N21</f>
        <v>0</v>
      </c>
      <c r="P17" s="123">
        <f>CORPbs!P21-CORPbs!O21</f>
        <v>0</v>
      </c>
      <c r="Q17" s="123">
        <f>CORPbs!Q21-CORPbs!P21</f>
        <v>0</v>
      </c>
      <c r="R17" s="14"/>
    </row>
    <row r="18" spans="1:18" s="37" customFormat="1" x14ac:dyDescent="0.25">
      <c r="B18" s="37" t="s">
        <v>41</v>
      </c>
      <c r="C18" s="102"/>
      <c r="D18" s="124"/>
      <c r="E18" s="123">
        <f>CORPbs!E23-CORPbs!D23</f>
        <v>-835.5</v>
      </c>
      <c r="F18" s="123">
        <f>CORPbs!F23-CORPbs!E23</f>
        <v>-2361.9</v>
      </c>
      <c r="G18" s="123">
        <f>CORPbs!G23-CORPbs!F23</f>
        <v>-634.42500000000018</v>
      </c>
      <c r="H18" s="123">
        <f>CORPbs!H23-CORPbs!G23</f>
        <v>-421.44062144267809</v>
      </c>
      <c r="I18" s="123">
        <f>CORPbs!I23-CORPbs!H23</f>
        <v>0</v>
      </c>
      <c r="J18" s="123">
        <f>CORPbs!J23-CORPbs!I23</f>
        <v>0</v>
      </c>
      <c r="K18" s="123">
        <f>CORPbs!K23-CORPbs!J23</f>
        <v>0</v>
      </c>
      <c r="L18" s="123">
        <f>CORPbs!L23-CORPbs!K23</f>
        <v>0</v>
      </c>
      <c r="M18" s="123">
        <f>CORPbs!M23-CORPbs!L23</f>
        <v>273.49974584639267</v>
      </c>
      <c r="N18" s="123">
        <f>CORPbs!N23-CORPbs!M23</f>
        <v>392.2694928651631</v>
      </c>
      <c r="O18" s="123">
        <f>CORPbs!O23-CORPbs!N23</f>
        <v>205.09237914011555</v>
      </c>
      <c r="P18" s="123">
        <f>CORPbs!P23-CORPbs!O23</f>
        <v>0</v>
      </c>
      <c r="Q18" s="123">
        <f>CORPbs!Q23-CORPbs!P23</f>
        <v>0</v>
      </c>
      <c r="R18" s="14"/>
    </row>
    <row r="19" spans="1:18" s="97" customFormat="1" x14ac:dyDescent="0.25">
      <c r="A19" s="1" t="s">
        <v>64</v>
      </c>
      <c r="B19" s="37"/>
      <c r="C19" s="102"/>
      <c r="D19" s="96">
        <f t="shared" ref="D19:Q19" si="0">SUM(D5,D6,D7,D8,D9,D10,D12,D13,D14,D15,D17,D18)</f>
        <v>-35023.30999999999</v>
      </c>
      <c r="E19" s="96">
        <f t="shared" si="0"/>
        <v>-30451.675999999992</v>
      </c>
      <c r="F19" s="96">
        <f t="shared" si="0"/>
        <v>-37584.978999999999</v>
      </c>
      <c r="G19" s="96">
        <f t="shared" si="0"/>
        <v>-19396.177321162566</v>
      </c>
      <c r="H19" s="96">
        <f t="shared" si="0"/>
        <v>-20181.905353654907</v>
      </c>
      <c r="I19" s="96">
        <f t="shared" si="0"/>
        <v>-7367.1799012794636</v>
      </c>
      <c r="J19" s="96">
        <f t="shared" si="0"/>
        <v>-7367.1799012794636</v>
      </c>
      <c r="K19" s="96">
        <f t="shared" si="0"/>
        <v>-7367.1799012794636</v>
      </c>
      <c r="L19" s="96">
        <f t="shared" si="0"/>
        <v>-7367.1799012794636</v>
      </c>
      <c r="M19" s="96">
        <f t="shared" si="0"/>
        <v>-29068.550859271469</v>
      </c>
      <c r="N19" s="96">
        <f t="shared" si="0"/>
        <v>-30970.21809066079</v>
      </c>
      <c r="O19" s="96">
        <f t="shared" si="0"/>
        <v>-32250.297695817455</v>
      </c>
      <c r="P19" s="96">
        <f t="shared" si="0"/>
        <v>-35888.194074957573</v>
      </c>
      <c r="Q19" s="96">
        <f t="shared" si="0"/>
        <v>-35888.194074957573</v>
      </c>
      <c r="R19" s="14"/>
    </row>
    <row r="20" spans="1:18" x14ac:dyDescent="0.25">
      <c r="C20"/>
      <c r="H20"/>
      <c r="M20"/>
      <c r="N20"/>
      <c r="O20"/>
      <c r="P20"/>
      <c r="Q20"/>
      <c r="R20" s="14"/>
    </row>
    <row r="21" spans="1:18" s="113" customFormat="1" x14ac:dyDescent="0.25">
      <c r="A21" s="108" t="s">
        <v>65</v>
      </c>
      <c r="B21" s="44"/>
      <c r="C21" s="2"/>
      <c r="D21" s="109"/>
      <c r="E21" s="109"/>
      <c r="F21" s="109"/>
      <c r="G21" s="110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4"/>
    </row>
    <row r="22" spans="1:18" s="113" customFormat="1" x14ac:dyDescent="0.25">
      <c r="B22" s="113" t="s">
        <v>66</v>
      </c>
      <c r="C22" s="117"/>
      <c r="D22" s="98"/>
      <c r="E22" s="120">
        <f>CORPbs!D6-CORPbs!E6</f>
        <v>148</v>
      </c>
      <c r="F22" s="120">
        <f>CORPbs!E6-CORPbs!F6</f>
        <v>-1442</v>
      </c>
      <c r="G22" s="120">
        <f>CORPbs!F6-CORPbs!G6</f>
        <v>552.10500000000002</v>
      </c>
      <c r="H22" s="120">
        <f>CORPbs!G6-CORPbs!H6</f>
        <v>0</v>
      </c>
      <c r="I22" s="120">
        <f>CORPbs!H6-CORPbs!I6</f>
        <v>0</v>
      </c>
      <c r="J22" s="120">
        <f>CORPbs!I6-CORPbs!J6</f>
        <v>0</v>
      </c>
      <c r="K22" s="120">
        <f>CORPbs!J6-CORPbs!K6</f>
        <v>0</v>
      </c>
      <c r="L22" s="120">
        <f>CORPbs!K6-CORPbs!L6</f>
        <v>0</v>
      </c>
      <c r="M22" s="120">
        <f>CORPbs!L6-CORPbs!M6</f>
        <v>0</v>
      </c>
      <c r="N22" s="120">
        <f>CORPbs!M6-CORPbs!N6</f>
        <v>0</v>
      </c>
      <c r="O22" s="120">
        <f>CORPbs!N6-CORPbs!O6</f>
        <v>0</v>
      </c>
      <c r="P22" s="120">
        <f>CORPbs!O6-CORPbs!P6</f>
        <v>0</v>
      </c>
      <c r="Q22" s="120">
        <f>CORPbs!P6-CORPbs!Q6</f>
        <v>0</v>
      </c>
      <c r="R22" s="14"/>
    </row>
    <row r="23" spans="1:18" s="113" customFormat="1" x14ac:dyDescent="0.25">
      <c r="B23" s="113" t="s">
        <v>67</v>
      </c>
      <c r="C23" s="117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14"/>
    </row>
    <row r="24" spans="1:18" s="113" customFormat="1" x14ac:dyDescent="0.25">
      <c r="B24" s="113" t="s">
        <v>68</v>
      </c>
      <c r="C24" s="117"/>
      <c r="D24" s="98">
        <v>858</v>
      </c>
      <c r="E24" s="98">
        <v>0</v>
      </c>
      <c r="F24" s="98">
        <v>-926.5</v>
      </c>
      <c r="G24" s="98">
        <v>-479</v>
      </c>
      <c r="H24" s="98">
        <v>-100.25</v>
      </c>
      <c r="I24" s="98"/>
      <c r="J24" s="98"/>
      <c r="K24" s="98"/>
      <c r="L24" s="98"/>
      <c r="M24" s="98">
        <v>0</v>
      </c>
      <c r="N24" s="98">
        <v>0</v>
      </c>
      <c r="O24" s="98">
        <v>0</v>
      </c>
      <c r="P24" s="98"/>
      <c r="Q24" s="98"/>
      <c r="R24" s="14"/>
    </row>
    <row r="25" spans="1:18" s="113" customFormat="1" x14ac:dyDescent="0.25">
      <c r="B25" s="113" t="s">
        <v>69</v>
      </c>
      <c r="C25" s="117"/>
      <c r="D25" s="98">
        <v>-91166</v>
      </c>
      <c r="E25" s="98"/>
      <c r="F25" s="98">
        <v>0</v>
      </c>
      <c r="G25" s="98">
        <v>0</v>
      </c>
      <c r="H25" s="98">
        <v>0</v>
      </c>
      <c r="I25" s="98"/>
      <c r="J25" s="98"/>
      <c r="K25" s="98"/>
      <c r="L25" s="98"/>
      <c r="M25" s="98">
        <v>0</v>
      </c>
      <c r="N25" s="98">
        <v>0</v>
      </c>
      <c r="O25" s="98">
        <v>0</v>
      </c>
      <c r="P25" s="98"/>
      <c r="Q25" s="98"/>
      <c r="R25" s="14"/>
    </row>
    <row r="26" spans="1:18" s="113" customFormat="1" x14ac:dyDescent="0.25">
      <c r="B26" s="113" t="s">
        <v>70</v>
      </c>
      <c r="C26" s="117"/>
      <c r="D26" s="98"/>
      <c r="E26" s="120">
        <f>CORPbs!D10-CORPbs!E10</f>
        <v>0</v>
      </c>
      <c r="F26" s="120">
        <f>CORPbs!E10-CORPbs!F10</f>
        <v>0</v>
      </c>
      <c r="G26" s="120">
        <f>CORPbs!F10-CORPbs!G10</f>
        <v>0</v>
      </c>
      <c r="H26" s="120">
        <f>CORPbs!G10-CORPbs!H10</f>
        <v>0</v>
      </c>
      <c r="I26" s="120">
        <f>CORPbs!H10-CORPbs!I10</f>
        <v>0</v>
      </c>
      <c r="J26" s="120">
        <f>CORPbs!I10-CORPbs!J10</f>
        <v>0</v>
      </c>
      <c r="K26" s="120">
        <f>CORPbs!J10-CORPbs!K10</f>
        <v>0</v>
      </c>
      <c r="L26" s="120">
        <f>CORPbs!K10-CORPbs!L10</f>
        <v>0</v>
      </c>
      <c r="M26" s="120">
        <f>CORPbs!L10-CORPbs!M10</f>
        <v>0</v>
      </c>
      <c r="N26" s="120">
        <f>CORPbs!M10-CORPbs!N10</f>
        <v>0</v>
      </c>
      <c r="O26" s="120">
        <f>CORPbs!N10-CORPbs!O10</f>
        <v>0</v>
      </c>
      <c r="P26" s="120">
        <f>CORPbs!O10-CORPbs!P10</f>
        <v>0</v>
      </c>
      <c r="Q26" s="120">
        <f>CORPbs!P10-CORPbs!Q10</f>
        <v>0</v>
      </c>
      <c r="R26" s="14"/>
    </row>
    <row r="27" spans="1:18" s="113" customFormat="1" x14ac:dyDescent="0.25">
      <c r="B27" s="113" t="s">
        <v>100</v>
      </c>
      <c r="C27" s="117"/>
      <c r="D27" s="98">
        <v>-2379</v>
      </c>
      <c r="E27" s="98">
        <v>-2698</v>
      </c>
      <c r="F27" s="98">
        <v>-3645</v>
      </c>
      <c r="G27" s="98">
        <v>-1499.5</v>
      </c>
      <c r="H27" s="98">
        <v>-1500</v>
      </c>
      <c r="I27" s="98"/>
      <c r="J27" s="98"/>
      <c r="K27" s="98"/>
      <c r="L27" s="98"/>
      <c r="M27" s="98">
        <v>-1500</v>
      </c>
      <c r="N27" s="98">
        <v>-1000</v>
      </c>
      <c r="O27" s="98">
        <v>-1000</v>
      </c>
      <c r="P27" s="98"/>
      <c r="Q27" s="98"/>
      <c r="R27" s="14"/>
    </row>
    <row r="28" spans="1:18" s="113" customFormat="1" x14ac:dyDescent="0.25">
      <c r="B28" s="113" t="s">
        <v>101</v>
      </c>
      <c r="C28" s="117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14"/>
    </row>
    <row r="29" spans="1:18" s="119" customFormat="1" x14ac:dyDescent="0.25">
      <c r="A29" s="108" t="s">
        <v>72</v>
      </c>
      <c r="B29" s="113"/>
      <c r="C29" s="17"/>
      <c r="D29" s="120">
        <f t="shared" ref="D29:Q29" si="1">SUM(D22,D23,D24,D25,D26,D27,D28)</f>
        <v>-92687</v>
      </c>
      <c r="E29" s="120">
        <f t="shared" si="1"/>
        <v>-2550</v>
      </c>
      <c r="F29" s="120">
        <f t="shared" si="1"/>
        <v>-6013.5</v>
      </c>
      <c r="G29" s="120">
        <f t="shared" si="1"/>
        <v>-1426.395</v>
      </c>
      <c r="H29" s="120">
        <f t="shared" si="1"/>
        <v>-1600.25</v>
      </c>
      <c r="I29" s="120">
        <f t="shared" si="1"/>
        <v>0</v>
      </c>
      <c r="J29" s="120">
        <f t="shared" si="1"/>
        <v>0</v>
      </c>
      <c r="K29" s="120">
        <f t="shared" si="1"/>
        <v>0</v>
      </c>
      <c r="L29" s="120">
        <f t="shared" si="1"/>
        <v>0</v>
      </c>
      <c r="M29" s="120">
        <f t="shared" si="1"/>
        <v>-1500</v>
      </c>
      <c r="N29" s="120">
        <f t="shared" si="1"/>
        <v>-1000</v>
      </c>
      <c r="O29" s="120">
        <f t="shared" si="1"/>
        <v>-1000</v>
      </c>
      <c r="P29" s="120">
        <f t="shared" si="1"/>
        <v>0</v>
      </c>
      <c r="Q29" s="120">
        <f t="shared" si="1"/>
        <v>0</v>
      </c>
      <c r="R29" s="14"/>
    </row>
    <row r="30" spans="1:18" s="45" customFormat="1" x14ac:dyDescent="0.25">
      <c r="B30" s="44"/>
      <c r="C30" s="2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14"/>
    </row>
    <row r="31" spans="1:18" s="69" customFormat="1" x14ac:dyDescent="0.25">
      <c r="A31" s="68" t="s">
        <v>73</v>
      </c>
      <c r="B31" s="44"/>
      <c r="C31" s="2"/>
      <c r="D31" s="70"/>
      <c r="E31" s="70"/>
      <c r="F31" s="70"/>
      <c r="G31" s="71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14"/>
    </row>
    <row r="32" spans="1:18" s="69" customFormat="1" x14ac:dyDescent="0.25">
      <c r="B32" s="69" t="s">
        <v>74</v>
      </c>
      <c r="C32" s="79"/>
      <c r="D32" s="99"/>
      <c r="E32" s="82">
        <f>CORPbs!E20-CORPbs!D20</f>
        <v>0</v>
      </c>
      <c r="F32" s="82">
        <f>CORPbs!F20-CORPbs!E20</f>
        <v>0</v>
      </c>
      <c r="G32" s="82">
        <f>CORPbs!G20-CORPbs!F20</f>
        <v>0</v>
      </c>
      <c r="H32" s="82">
        <f>CORPbs!H20-CORPbs!G20</f>
        <v>0</v>
      </c>
      <c r="I32" s="99">
        <v>0</v>
      </c>
      <c r="J32" s="99">
        <f>CORPbs!J20-CORPbs!I20</f>
        <v>0</v>
      </c>
      <c r="K32" s="99">
        <f>CORPbs!K20-CORPbs!J20</f>
        <v>0</v>
      </c>
      <c r="L32" s="99">
        <f>CORPbs!L20-CORPbs!K20</f>
        <v>0</v>
      </c>
      <c r="M32" s="99">
        <f>CORPbs!M20-CORPbs!H20</f>
        <v>0</v>
      </c>
      <c r="N32" s="82">
        <f>CORPbs!N20-CORPbs!M20</f>
        <v>0</v>
      </c>
      <c r="O32" s="82">
        <f>CORPbs!O20-CORPbs!N20</f>
        <v>0</v>
      </c>
      <c r="P32" s="82">
        <f>CORPbs!P20-CORPbs!O20</f>
        <v>0</v>
      </c>
      <c r="Q32" s="82">
        <f>CORPbs!Q20-CORPbs!P20</f>
        <v>0</v>
      </c>
      <c r="R32" s="14"/>
    </row>
    <row r="33" spans="1:18" s="69" customFormat="1" x14ac:dyDescent="0.25">
      <c r="B33" s="69" t="s">
        <v>75</v>
      </c>
      <c r="C33" s="79"/>
      <c r="D33" s="99"/>
      <c r="E33" s="82">
        <f>CORPbs!E25-CORPbs!D25</f>
        <v>0</v>
      </c>
      <c r="F33" s="82">
        <f>CORPbs!F25-CORPbs!E25</f>
        <v>0</v>
      </c>
      <c r="G33" s="82">
        <f>CORPbs!G25-CORPbs!F25</f>
        <v>0</v>
      </c>
      <c r="H33" s="82">
        <f>CORPbs!H25-CORPbs!G25</f>
        <v>-71750</v>
      </c>
      <c r="I33" s="82">
        <f>CORPbs!I25-CORPbs!H25</f>
        <v>0</v>
      </c>
      <c r="J33" s="82">
        <f>CORPbs!J25-CORPbs!I25</f>
        <v>0</v>
      </c>
      <c r="K33" s="82">
        <f>CORPbs!K25-CORPbs!J25</f>
        <v>0</v>
      </c>
      <c r="L33" s="82">
        <f>CORPbs!L25-CORPbs!K25</f>
        <v>0</v>
      </c>
      <c r="M33" s="82">
        <f>CORPbs!M25-CORPbs!L25</f>
        <v>0</v>
      </c>
      <c r="N33" s="82">
        <f>CORPbs!N25-CORPbs!M25</f>
        <v>0</v>
      </c>
      <c r="O33" s="82">
        <f>CORPbs!O25-CORPbs!N25</f>
        <v>0</v>
      </c>
      <c r="P33" s="82">
        <f>CORPbs!P25-CORPbs!O25</f>
        <v>0</v>
      </c>
      <c r="Q33" s="82">
        <f>CORPbs!Q25-CORPbs!P25</f>
        <v>0</v>
      </c>
      <c r="R33" s="14"/>
    </row>
    <row r="34" spans="1:18" s="69" customFormat="1" x14ac:dyDescent="0.25">
      <c r="B34" s="69" t="s">
        <v>76</v>
      </c>
      <c r="C34" s="7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14"/>
    </row>
    <row r="35" spans="1:18" s="69" customFormat="1" x14ac:dyDescent="0.25">
      <c r="B35" s="69" t="s">
        <v>77</v>
      </c>
      <c r="C35" s="7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4"/>
    </row>
    <row r="36" spans="1:18" s="69" customFormat="1" x14ac:dyDescent="0.25">
      <c r="B36" s="69" t="s">
        <v>78</v>
      </c>
      <c r="C36" s="7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4"/>
    </row>
    <row r="37" spans="1:18" s="69" customFormat="1" x14ac:dyDescent="0.25">
      <c r="B37" s="69" t="s">
        <v>79</v>
      </c>
      <c r="C37" s="7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14"/>
    </row>
    <row r="38" spans="1:18" s="69" customFormat="1" x14ac:dyDescent="0.25">
      <c r="B38" s="69" t="s">
        <v>80</v>
      </c>
      <c r="C38" s="7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14"/>
    </row>
    <row r="39" spans="1:18" s="69" customFormat="1" x14ac:dyDescent="0.25">
      <c r="B39" s="69" t="s">
        <v>81</v>
      </c>
      <c r="C39" s="7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14"/>
    </row>
    <row r="40" spans="1:18" s="69" customFormat="1" x14ac:dyDescent="0.25">
      <c r="B40" s="69" t="s">
        <v>82</v>
      </c>
      <c r="C40" s="7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4"/>
    </row>
    <row r="41" spans="1:18" s="69" customFormat="1" x14ac:dyDescent="0.25">
      <c r="B41" s="69" t="s">
        <v>83</v>
      </c>
      <c r="C41" s="7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14"/>
    </row>
    <row r="42" spans="1:18" s="81" customFormat="1" x14ac:dyDescent="0.25">
      <c r="A42" s="68" t="s">
        <v>84</v>
      </c>
      <c r="B42" s="69"/>
      <c r="C42" s="17"/>
      <c r="D42" s="82">
        <f t="shared" ref="D42:Q42" si="2">SUM(D32,D33,D34,D35,D36,D37,D38,D39,D40,D41)</f>
        <v>0</v>
      </c>
      <c r="E42" s="82">
        <f t="shared" si="2"/>
        <v>0</v>
      </c>
      <c r="F42" s="82">
        <f t="shared" si="2"/>
        <v>0</v>
      </c>
      <c r="G42" s="82">
        <f t="shared" si="2"/>
        <v>0</v>
      </c>
      <c r="H42" s="82">
        <f t="shared" si="2"/>
        <v>-71750</v>
      </c>
      <c r="I42" s="82">
        <f t="shared" si="2"/>
        <v>0</v>
      </c>
      <c r="J42" s="82">
        <f t="shared" si="2"/>
        <v>0</v>
      </c>
      <c r="K42" s="82">
        <f t="shared" si="2"/>
        <v>0</v>
      </c>
      <c r="L42" s="82">
        <f t="shared" si="2"/>
        <v>0</v>
      </c>
      <c r="M42" s="82">
        <f t="shared" si="2"/>
        <v>0</v>
      </c>
      <c r="N42" s="82">
        <f t="shared" si="2"/>
        <v>0</v>
      </c>
      <c r="O42" s="82">
        <f t="shared" si="2"/>
        <v>0</v>
      </c>
      <c r="P42" s="82">
        <f t="shared" si="2"/>
        <v>0</v>
      </c>
      <c r="Q42" s="82">
        <f t="shared" si="2"/>
        <v>0</v>
      </c>
      <c r="R42" s="14"/>
    </row>
    <row r="43" spans="1:18" x14ac:dyDescent="0.25">
      <c r="C43"/>
      <c r="H43"/>
      <c r="M43"/>
      <c r="N43"/>
      <c r="O43"/>
      <c r="P43"/>
      <c r="Q43"/>
      <c r="R43" s="14"/>
    </row>
    <row r="44" spans="1:18" s="19" customFormat="1" x14ac:dyDescent="0.25">
      <c r="B44" s="14" t="s">
        <v>85</v>
      </c>
      <c r="C44" s="17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14"/>
    </row>
    <row r="45" spans="1:18" s="19" customFormat="1" x14ac:dyDescent="0.25">
      <c r="A45" s="31" t="s">
        <v>86</v>
      </c>
      <c r="B45" s="14"/>
      <c r="C45" s="17"/>
      <c r="D45" s="20">
        <f t="shared" ref="D45:Q45" si="3">D19+D29+D42+D44</f>
        <v>-127710.31</v>
      </c>
      <c r="E45" s="20">
        <f t="shared" si="3"/>
        <v>-33001.675999999992</v>
      </c>
      <c r="F45" s="20">
        <f t="shared" si="3"/>
        <v>-43598.478999999999</v>
      </c>
      <c r="G45" s="20">
        <f t="shared" si="3"/>
        <v>-20822.572321162566</v>
      </c>
      <c r="H45" s="20">
        <f t="shared" si="3"/>
        <v>-93532.155353654904</v>
      </c>
      <c r="I45" s="20">
        <f t="shared" si="3"/>
        <v>-7367.1799012794636</v>
      </c>
      <c r="J45" s="20">
        <f t="shared" si="3"/>
        <v>-7367.1799012794636</v>
      </c>
      <c r="K45" s="20">
        <f t="shared" si="3"/>
        <v>-7367.1799012794636</v>
      </c>
      <c r="L45" s="20">
        <f t="shared" si="3"/>
        <v>-7367.1799012794636</v>
      </c>
      <c r="M45" s="20">
        <f t="shared" si="3"/>
        <v>-30568.550859271469</v>
      </c>
      <c r="N45" s="20">
        <f t="shared" si="3"/>
        <v>-31970.21809066079</v>
      </c>
      <c r="O45" s="20">
        <f t="shared" si="3"/>
        <v>-33250.297695817455</v>
      </c>
      <c r="P45" s="20">
        <f t="shared" si="3"/>
        <v>-35888.194074957573</v>
      </c>
      <c r="Q45" s="20">
        <f t="shared" si="3"/>
        <v>-35888.194074957573</v>
      </c>
      <c r="R45" s="14"/>
    </row>
    <row r="46" spans="1:18" s="19" customFormat="1" x14ac:dyDescent="0.25">
      <c r="B46" s="14" t="s">
        <v>87</v>
      </c>
      <c r="C46" s="17"/>
      <c r="D46" s="39">
        <v>556954</v>
      </c>
      <c r="E46" s="20">
        <f>D47</f>
        <v>429243.69</v>
      </c>
      <c r="F46" s="20">
        <f t="shared" ref="F46:G46" si="4">E47</f>
        <v>396242.01400000002</v>
      </c>
      <c r="G46" s="20">
        <f t="shared" si="4"/>
        <v>352643.53500000003</v>
      </c>
      <c r="H46" s="20">
        <f>G47</f>
        <v>331820.96267883747</v>
      </c>
      <c r="I46" s="20">
        <f t="shared" ref="I46:N46" si="5">H47</f>
        <v>238288.80732518257</v>
      </c>
      <c r="J46" s="20">
        <f t="shared" si="5"/>
        <v>230921.62742390312</v>
      </c>
      <c r="K46" s="20">
        <f t="shared" si="5"/>
        <v>223554.44752262367</v>
      </c>
      <c r="L46" s="20">
        <f t="shared" si="5"/>
        <v>216187.26762134422</v>
      </c>
      <c r="M46" s="20">
        <f t="shared" si="5"/>
        <v>208820.08772006477</v>
      </c>
      <c r="N46" s="20">
        <f t="shared" si="5"/>
        <v>178251.53686079331</v>
      </c>
      <c r="O46" s="20">
        <f>N47</f>
        <v>146281.31877013252</v>
      </c>
      <c r="P46" s="20">
        <f t="shared" ref="P46:Q46" si="6">O47</f>
        <v>113031.02107431507</v>
      </c>
      <c r="Q46" s="20">
        <f t="shared" si="6"/>
        <v>77142.826999357494</v>
      </c>
      <c r="R46" s="14"/>
    </row>
    <row r="47" spans="1:18" s="19" customFormat="1" x14ac:dyDescent="0.25">
      <c r="A47" s="31" t="s">
        <v>88</v>
      </c>
      <c r="B47" s="14"/>
      <c r="C47" s="17"/>
      <c r="D47" s="20">
        <f t="shared" ref="D47:Q47" si="7">D45+D46</f>
        <v>429243.69</v>
      </c>
      <c r="E47" s="20">
        <f t="shared" si="7"/>
        <v>396242.01400000002</v>
      </c>
      <c r="F47" s="20">
        <f t="shared" si="7"/>
        <v>352643.53500000003</v>
      </c>
      <c r="G47" s="20">
        <f t="shared" si="7"/>
        <v>331820.96267883747</v>
      </c>
      <c r="H47" s="20">
        <f t="shared" si="7"/>
        <v>238288.80732518257</v>
      </c>
      <c r="I47" s="20">
        <f t="shared" si="7"/>
        <v>230921.62742390312</v>
      </c>
      <c r="J47" s="20">
        <f t="shared" si="7"/>
        <v>223554.44752262367</v>
      </c>
      <c r="K47" s="20">
        <f t="shared" si="7"/>
        <v>216187.26762134422</v>
      </c>
      <c r="L47" s="20">
        <f t="shared" si="7"/>
        <v>208820.08772006477</v>
      </c>
      <c r="M47" s="20">
        <f t="shared" si="7"/>
        <v>178251.53686079331</v>
      </c>
      <c r="N47" s="20">
        <f t="shared" si="7"/>
        <v>146281.31877013252</v>
      </c>
      <c r="O47" s="20">
        <f t="shared" si="7"/>
        <v>113031.02107431507</v>
      </c>
      <c r="P47" s="20">
        <f t="shared" si="7"/>
        <v>77142.826999357494</v>
      </c>
      <c r="Q47" s="20">
        <f t="shared" si="7"/>
        <v>41254.632924399921</v>
      </c>
      <c r="R47" s="14"/>
    </row>
    <row r="48" spans="1:18" s="14" customFormat="1" x14ac:dyDescent="0.25"/>
    <row r="49" spans="1:18" s="449" customFormat="1" ht="9" collapsed="1" x14ac:dyDescent="0.15">
      <c r="A49" s="446" t="s">
        <v>55</v>
      </c>
      <c r="C49" s="89"/>
      <c r="D49" s="443">
        <f>CORPbs!D5-D47</f>
        <v>668</v>
      </c>
      <c r="E49" s="443">
        <f>CORPbs!E5-E47</f>
        <v>2211.7949999999837</v>
      </c>
      <c r="F49" s="443">
        <f>CORPbs!F5-F47</f>
        <v>4274.6169999999693</v>
      </c>
      <c r="G49" s="443">
        <f>CORPbs!G5-G47</f>
        <v>5044.6879999999655</v>
      </c>
      <c r="H49" s="443">
        <f>CORPbs!H5-H47</f>
        <v>8141.2749999999651</v>
      </c>
      <c r="I49" s="443">
        <f>CORPbs!I5-I47</f>
        <v>8728.0696374999534</v>
      </c>
      <c r="J49" s="443">
        <f>CORPbs!J5-J47</f>
        <v>9314.8642749999417</v>
      </c>
      <c r="K49" s="443">
        <f>CORPbs!K5-K47</f>
        <v>9901.65891249993</v>
      </c>
      <c r="L49" s="443">
        <f>CORPbs!L5-L47</f>
        <v>10488.453549999918</v>
      </c>
      <c r="M49" s="443">
        <f>CORPbs!M5-M47</f>
        <v>-50991.332900000081</v>
      </c>
      <c r="N49" s="443">
        <f>CORPbs!N5-N47</f>
        <v>-45067.764900000097</v>
      </c>
      <c r="O49" s="443">
        <f>CORPbs!O5-O47</f>
        <v>-39535.447300000102</v>
      </c>
      <c r="P49" s="443">
        <f>CORPbs!P5-P47</f>
        <v>-40395.129700000107</v>
      </c>
      <c r="Q49" s="443">
        <f>CORPbs!Q5-Q47</f>
        <v>-41254.632924399921</v>
      </c>
      <c r="R49" s="450"/>
    </row>
    <row r="50" spans="1:18" s="14" customFormat="1" x14ac:dyDescent="0.25"/>
    <row r="51" spans="1:18" s="14" customFormat="1" x14ac:dyDescent="0.25"/>
    <row r="52" spans="1:18" s="14" customFormat="1" x14ac:dyDescent="0.25"/>
    <row r="53" spans="1:18" s="14" customFormat="1" x14ac:dyDescent="0.25">
      <c r="C53" s="2"/>
      <c r="H53" s="31"/>
      <c r="M53" s="31"/>
      <c r="N53" s="31"/>
      <c r="O53" s="31"/>
      <c r="P53" s="31"/>
      <c r="Q53" s="31"/>
    </row>
  </sheetData>
  <sheetProtection algorithmName="SHA-512" hashValue="IHpJmej4teinZVlLDJV4dUEAAUEq/HP5bd3DkoxYhtQCSn9q2kaeXmjjCwNINGWJvgy6GylrtFbgwraOmMhI/w==" saltValue="yDulO1A3fshTcQRwnqtC2A==" spinCount="100000" sheet="1" objects="1" scenarios="1"/>
  <conditionalFormatting sqref="C44:C47 C21:C42 C5:C19">
    <cfRule type="cellIs" dxfId="1" priority="5" operator="notEqual">
      <formula>0</formula>
    </cfRule>
  </conditionalFormatting>
  <conditionalFormatting sqref="D49:Q49">
    <cfRule type="cellIs" dxfId="0" priority="1" operator="notBetween">
      <formula>-1</formula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66"/>
  </sheetPr>
  <dimension ref="A1:FJ150"/>
  <sheetViews>
    <sheetView zoomScale="85" zoomScaleNormal="85" workbookViewId="0"/>
  </sheetViews>
  <sheetFormatPr defaultColWidth="8.85546875" defaultRowHeight="15" x14ac:dyDescent="0.25"/>
  <cols>
    <col min="1" max="1" width="6.5703125" style="254" customWidth="1"/>
    <col min="2" max="2" width="5" style="254" customWidth="1"/>
    <col min="3" max="3" width="4.28515625" style="254" customWidth="1"/>
    <col min="4" max="4" width="32.140625" style="254" bestFit="1" customWidth="1"/>
    <col min="5" max="5" width="61.28515625" style="254" customWidth="1"/>
    <col min="6" max="6" width="3.5703125" style="254" bestFit="1" customWidth="1"/>
    <col min="7" max="7" width="3.7109375" style="254" customWidth="1"/>
    <col min="8" max="8" width="6.5703125" style="254" customWidth="1"/>
    <col min="9" max="9" width="10.42578125" style="254" customWidth="1"/>
    <col min="10" max="10" width="1.7109375" style="254" customWidth="1"/>
    <col min="11" max="11" width="23.7109375" style="254" bestFit="1" customWidth="1"/>
    <col min="12" max="12" width="1.7109375" style="254" customWidth="1"/>
    <col min="13" max="13" width="4.140625" style="254" customWidth="1"/>
    <col min="14" max="14" width="21.5703125" style="254" bestFit="1" customWidth="1"/>
    <col min="15" max="15" width="1.7109375" style="254" customWidth="1"/>
    <col min="16" max="16" width="22.5703125" style="254" customWidth="1"/>
    <col min="17" max="17" width="1.7109375" style="254" customWidth="1"/>
    <col min="18" max="18" width="23.85546875" style="254" customWidth="1"/>
    <col min="19" max="19" width="6.5703125" style="254" customWidth="1"/>
    <col min="20" max="20" width="21.7109375" style="254" bestFit="1" customWidth="1"/>
    <col min="21" max="21" width="1.7109375" style="254" customWidth="1"/>
    <col min="22" max="22" width="45.28515625" style="254" bestFit="1" customWidth="1"/>
    <col min="23" max="23" width="1.7109375" style="254" customWidth="1"/>
    <col min="24" max="24" width="44.85546875" style="254" bestFit="1" customWidth="1"/>
    <col min="25" max="25" width="6.5703125" style="254" customWidth="1"/>
    <col min="26" max="26" width="12.42578125" style="254" customWidth="1"/>
    <col min="27" max="27" width="1.7109375" style="254" customWidth="1"/>
    <col min="28" max="28" width="4.85546875" style="254" bestFit="1" customWidth="1"/>
    <col min="29" max="29" width="16.7109375" style="254" bestFit="1" customWidth="1"/>
    <col min="30" max="31" width="3.7109375" style="254" bestFit="1" customWidth="1"/>
    <col min="32" max="32" width="17.28515625" style="254" bestFit="1" customWidth="1"/>
    <col min="33" max="37" width="8.85546875" style="254"/>
    <col min="38" max="38" width="5.7109375" style="254" customWidth="1"/>
    <col min="39" max="39" width="6.42578125" style="254" customWidth="1"/>
    <col min="40" max="40" width="21.7109375" style="254" bestFit="1" customWidth="1"/>
    <col min="41" max="41" width="1.7109375" style="254" customWidth="1"/>
    <col min="42" max="42" width="44.7109375" style="254" bestFit="1" customWidth="1"/>
    <col min="43" max="43" width="1.7109375" style="254" customWidth="1"/>
    <col min="44" max="44" width="44.42578125" style="254" bestFit="1" customWidth="1"/>
    <col min="45" max="45" width="6.5703125" customWidth="1"/>
    <col min="46" max="46" width="20.42578125" customWidth="1"/>
    <col min="47" max="47" width="8.28515625" bestFit="1" customWidth="1"/>
    <col min="48" max="48" width="7.28515625" bestFit="1" customWidth="1"/>
    <col min="49" max="49" width="6.42578125" customWidth="1"/>
    <col min="50" max="50" width="8.140625" customWidth="1"/>
    <col min="51" max="51" width="7.42578125" customWidth="1"/>
    <col min="52" max="52" width="5.42578125" bestFit="1" customWidth="1"/>
    <col min="53" max="53" width="8.28515625" customWidth="1"/>
    <col min="54" max="56" width="8.28515625" bestFit="1" customWidth="1"/>
    <col min="57" max="57" width="7" bestFit="1" customWidth="1"/>
    <col min="58" max="58" width="6" style="254" customWidth="1"/>
    <col min="59" max="59" width="6.5703125" customWidth="1"/>
    <col min="60" max="60" width="25.85546875" customWidth="1"/>
    <col min="61" max="61" width="7.28515625" style="10" customWidth="1"/>
    <col min="62" max="64" width="12.7109375" customWidth="1"/>
    <col min="65" max="65" width="1.85546875" customWidth="1"/>
    <col min="66" max="66" width="20.28515625" bestFit="1" customWidth="1"/>
    <col min="67" max="67" width="11" customWidth="1"/>
    <col min="68" max="68" width="9.85546875" bestFit="1" customWidth="1"/>
    <col min="69" max="69" width="1" style="254" customWidth="1"/>
    <col min="70" max="70" width="6.5703125" style="254" customWidth="1"/>
    <col min="71" max="71" width="22.42578125" style="254" bestFit="1" customWidth="1"/>
    <col min="72" max="72" width="8.28515625" style="254" customWidth="1"/>
    <col min="73" max="73" width="1.7109375" style="254" customWidth="1"/>
    <col min="74" max="79" width="8" style="254" customWidth="1"/>
    <col min="80" max="80" width="7.28515625" style="254" bestFit="1" customWidth="1"/>
    <col min="81" max="81" width="9.28515625" style="254" bestFit="1" customWidth="1"/>
    <col min="82" max="82" width="1.7109375" style="254" customWidth="1"/>
    <col min="83" max="83" width="10.5703125" style="255" bestFit="1" customWidth="1"/>
    <col min="84" max="84" width="2.140625" style="254" customWidth="1"/>
    <col min="85" max="85" width="6.5703125" style="254" customWidth="1"/>
    <col min="86" max="89" width="8.85546875" style="254"/>
    <col min="90" max="91" width="10" style="254" bestFit="1" customWidth="1"/>
    <col min="92" max="92" width="9.28515625" style="254" bestFit="1" customWidth="1"/>
    <col min="93" max="94" width="8.85546875" style="254"/>
    <col min="95" max="95" width="9.7109375" style="254" customWidth="1"/>
    <col min="96" max="96" width="10.7109375" style="254" bestFit="1" customWidth="1"/>
    <col min="97" max="97" width="5.85546875" style="254" customWidth="1"/>
    <col min="98" max="98" width="3.85546875" style="254" customWidth="1"/>
    <col min="99" max="99" width="6.5703125" style="254" customWidth="1"/>
    <col min="100" max="110" width="8.85546875" style="254"/>
    <col min="111" max="111" width="8.85546875" style="254" customWidth="1"/>
    <col min="112" max="112" width="8.7109375" style="254" customWidth="1"/>
    <col min="113" max="113" width="6.5703125" style="254" customWidth="1"/>
    <col min="114" max="126" width="8.85546875" style="254"/>
    <col min="127" max="127" width="6.5703125" style="254" customWidth="1"/>
    <col min="128" max="128" width="8.85546875" style="254"/>
    <col min="129" max="129" width="16" style="254" bestFit="1" customWidth="1"/>
    <col min="130" max="130" width="5.28515625" style="254" bestFit="1" customWidth="1"/>
    <col min="131" max="131" width="6.140625" style="254" bestFit="1" customWidth="1"/>
    <col min="132" max="134" width="5.28515625" style="254" bestFit="1" customWidth="1"/>
    <col min="135" max="137" width="7.7109375" style="254" bestFit="1" customWidth="1"/>
    <col min="138" max="140" width="7.7109375" style="254" customWidth="1"/>
    <col min="141" max="141" width="14.85546875" style="254" customWidth="1"/>
    <col min="142" max="142" width="6.5703125" style="254" customWidth="1"/>
    <col min="143" max="144" width="8.85546875" style="254"/>
    <col min="145" max="145" width="12" style="254" bestFit="1" customWidth="1"/>
    <col min="146" max="148" width="9" style="254" bestFit="1" customWidth="1"/>
    <col min="149" max="149" width="9.7109375" style="254" bestFit="1" customWidth="1"/>
    <col min="150" max="150" width="15.7109375" style="254" customWidth="1"/>
    <col min="151" max="153" width="8.85546875" style="254"/>
    <col min="154" max="154" width="6.85546875" style="254" customWidth="1"/>
    <col min="155" max="155" width="6.5703125" style="254" customWidth="1"/>
    <col min="156" max="156" width="12.28515625" style="254" customWidth="1"/>
    <col min="157" max="166" width="9.5703125" style="254" bestFit="1" customWidth="1"/>
    <col min="167" max="167" width="3.42578125" style="254" customWidth="1"/>
    <col min="168" max="168" width="6.7109375" style="254" customWidth="1"/>
    <col min="169" max="16384" width="8.85546875" style="254"/>
  </cols>
  <sheetData>
    <row r="1" spans="1:166" s="339" customFormat="1" ht="26.25" x14ac:dyDescent="0.4">
      <c r="H1" s="339" t="s">
        <v>393</v>
      </c>
      <c r="S1" s="339" t="s">
        <v>392</v>
      </c>
      <c r="Y1" s="339" t="s">
        <v>391</v>
      </c>
      <c r="AM1" s="339" t="s">
        <v>420</v>
      </c>
      <c r="AS1" s="339" t="s">
        <v>574</v>
      </c>
      <c r="BG1" s="339" t="s">
        <v>575</v>
      </c>
      <c r="BR1" s="339" t="s">
        <v>576</v>
      </c>
      <c r="CE1" s="340"/>
      <c r="CG1" s="339" t="s">
        <v>390</v>
      </c>
      <c r="CU1" s="339" t="s">
        <v>456</v>
      </c>
      <c r="DI1" s="339" t="s">
        <v>455</v>
      </c>
      <c r="DW1" s="339" t="s">
        <v>454</v>
      </c>
      <c r="EL1" s="339" t="s">
        <v>453</v>
      </c>
      <c r="EY1" s="339" t="s">
        <v>512</v>
      </c>
    </row>
    <row r="2" spans="1:166" ht="15.75" x14ac:dyDescent="0.25">
      <c r="AS2" s="337"/>
      <c r="AT2" s="338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</row>
    <row r="3" spans="1:166" s="324" customFormat="1" ht="21" thickBot="1" x14ac:dyDescent="0.35">
      <c r="A3" s="577" t="s">
        <v>465</v>
      </c>
      <c r="B3" s="576"/>
      <c r="C3" s="576"/>
      <c r="D3" s="576"/>
      <c r="E3" s="576"/>
      <c r="F3" s="576"/>
      <c r="I3" s="329" t="s">
        <v>462</v>
      </c>
      <c r="T3" s="329" t="s">
        <v>389</v>
      </c>
      <c r="Z3" s="329" t="s">
        <v>463</v>
      </c>
      <c r="AN3" s="329" t="s">
        <v>421</v>
      </c>
      <c r="AS3"/>
      <c r="AT3" s="493" t="s">
        <v>383</v>
      </c>
      <c r="AU3" s="494"/>
      <c r="AV3" s="495"/>
      <c r="AW3" s="256"/>
      <c r="AX3" s="496" t="s">
        <v>577</v>
      </c>
      <c r="AY3" s="497"/>
      <c r="AZ3" s="497"/>
      <c r="BA3" s="497"/>
      <c r="BB3" s="498"/>
      <c r="BC3" s="498"/>
      <c r="BD3" s="498"/>
      <c r="BE3" s="256"/>
      <c r="BG3"/>
      <c r="BH3" s="208" t="s">
        <v>388</v>
      </c>
      <c r="BI3" s="336" t="s">
        <v>387</v>
      </c>
      <c r="BJ3" s="333" t="s">
        <v>386</v>
      </c>
      <c r="BK3" s="335"/>
      <c r="BL3" s="335"/>
      <c r="BM3"/>
      <c r="BN3" s="208" t="s">
        <v>578</v>
      </c>
      <c r="BO3" s="334" t="s">
        <v>385</v>
      </c>
      <c r="BP3" s="333"/>
      <c r="BS3" s="329" t="s">
        <v>384</v>
      </c>
      <c r="BT3" s="329"/>
      <c r="CE3" s="328"/>
      <c r="CH3" s="329" t="s">
        <v>579</v>
      </c>
      <c r="CI3" s="329"/>
      <c r="CJ3" s="329"/>
      <c r="CK3" s="329"/>
      <c r="CL3" s="329"/>
      <c r="CM3" s="329"/>
      <c r="CV3" s="329" t="s">
        <v>442</v>
      </c>
      <c r="DJ3" s="329" t="s">
        <v>419</v>
      </c>
      <c r="DX3" s="329" t="s">
        <v>524</v>
      </c>
      <c r="EM3" s="329" t="s">
        <v>457</v>
      </c>
      <c r="EZ3" s="329" t="s">
        <v>525</v>
      </c>
    </row>
    <row r="4" spans="1:166" s="256" customFormat="1" ht="15.6" customHeight="1" thickBot="1" x14ac:dyDescent="0.35">
      <c r="A4" s="261" t="s">
        <v>466</v>
      </c>
      <c r="B4" s="261"/>
      <c r="C4" s="261"/>
      <c r="D4" s="261"/>
      <c r="E4" s="261"/>
      <c r="F4" s="261"/>
      <c r="Y4" s="324"/>
      <c r="Z4" s="329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S4"/>
      <c r="AT4" s="492" t="s">
        <v>580</v>
      </c>
      <c r="AV4" s="473">
        <f>Comparables!$I$9</f>
        <v>3.35</v>
      </c>
      <c r="AX4" s="474" t="s">
        <v>322</v>
      </c>
      <c r="BA4" s="478">
        <v>2011</v>
      </c>
      <c r="BB4" s="478">
        <v>2012</v>
      </c>
      <c r="BC4" s="478" t="s">
        <v>321</v>
      </c>
      <c r="BD4" s="478" t="s">
        <v>320</v>
      </c>
      <c r="BG4"/>
      <c r="BH4" s="307"/>
      <c r="BI4" s="10"/>
      <c r="BJ4" s="332" t="s">
        <v>382</v>
      </c>
      <c r="BK4" s="330" t="s">
        <v>381</v>
      </c>
      <c r="BL4" s="330" t="s">
        <v>380</v>
      </c>
      <c r="BM4"/>
      <c r="BN4" s="331" t="s">
        <v>586</v>
      </c>
      <c r="BO4" s="330" t="s">
        <v>16</v>
      </c>
      <c r="BP4" s="330" t="s">
        <v>379</v>
      </c>
      <c r="BR4" s="324"/>
      <c r="BS4" s="329"/>
      <c r="BT4" s="329"/>
      <c r="BU4" s="324"/>
      <c r="BV4" s="382" t="s">
        <v>436</v>
      </c>
      <c r="BW4" s="324"/>
      <c r="BX4" s="324"/>
      <c r="BY4" s="324"/>
      <c r="BZ4" s="324"/>
      <c r="CA4" s="324"/>
      <c r="CB4" s="324"/>
      <c r="CC4" s="324"/>
      <c r="CD4" s="324"/>
      <c r="CE4" s="328"/>
      <c r="CF4" s="324"/>
      <c r="EJ4" s="324"/>
    </row>
    <row r="5" spans="1:166" s="256" customFormat="1" ht="15.6" customHeight="1" thickBot="1" x14ac:dyDescent="0.35">
      <c r="B5" s="261"/>
      <c r="C5" s="261"/>
      <c r="D5" s="261"/>
      <c r="E5" s="261"/>
      <c r="F5" s="261"/>
      <c r="G5" s="261"/>
      <c r="I5" s="312" t="s">
        <v>378</v>
      </c>
      <c r="K5" s="312" t="s">
        <v>372</v>
      </c>
      <c r="M5" s="312" t="s">
        <v>377</v>
      </c>
      <c r="P5" s="312" t="s">
        <v>376</v>
      </c>
      <c r="R5" s="312" t="s">
        <v>375</v>
      </c>
      <c r="T5" s="312" t="s">
        <v>372</v>
      </c>
      <c r="V5" s="312" t="s">
        <v>374</v>
      </c>
      <c r="X5" s="312" t="s">
        <v>373</v>
      </c>
      <c r="Z5" s="256" t="s">
        <v>369</v>
      </c>
      <c r="AB5" s="312"/>
      <c r="AN5" s="312" t="s">
        <v>372</v>
      </c>
      <c r="AP5" s="312" t="s">
        <v>371</v>
      </c>
      <c r="AR5" s="312" t="s">
        <v>370</v>
      </c>
      <c r="AS5"/>
      <c r="AT5" s="36" t="s">
        <v>365</v>
      </c>
      <c r="AV5" s="407"/>
      <c r="AX5" s="36" t="s">
        <v>108</v>
      </c>
      <c r="BA5" s="487">
        <f>SUM(BalSheet!G72,BalSheet!G97)</f>
        <v>324620</v>
      </c>
      <c r="BB5" s="487">
        <f>SUM(BalSheet!H72,BalSheet!H97)</f>
        <v>228493</v>
      </c>
      <c r="BC5" s="487">
        <f>SUM(BalSheet!M72,BalSheet!M97)</f>
        <v>235204</v>
      </c>
      <c r="BD5" s="488">
        <f>AVERAGE(BA5:BC5)</f>
        <v>262772.33333333331</v>
      </c>
      <c r="BG5"/>
      <c r="BH5" s="303" t="s">
        <v>590</v>
      </c>
      <c r="BI5" s="302" t="s">
        <v>593</v>
      </c>
      <c r="BJ5" s="301">
        <f>VLOOKUP(BI5,Comparables!$B:$T,3,FALSE)</f>
        <v>462.68</v>
      </c>
      <c r="BK5" s="301">
        <f>VLOOKUP(BI5,Comparables!$B:$T,12,FALSE)</f>
        <v>80.290000000000006</v>
      </c>
      <c r="BL5" s="300">
        <f>BJ5/BK5</f>
        <v>5.7626105368040852</v>
      </c>
      <c r="BM5"/>
      <c r="BN5" s="14" t="s">
        <v>544</v>
      </c>
      <c r="BO5" s="317">
        <f>Biz1pl!H10</f>
        <v>45620.719831370523</v>
      </c>
      <c r="BP5" s="323">
        <f>BO5*BL8/1000</f>
        <v>337.4188178038454</v>
      </c>
      <c r="BS5" s="312"/>
      <c r="BT5" s="312"/>
      <c r="BU5" s="324"/>
      <c r="BV5" s="327" t="s">
        <v>438</v>
      </c>
      <c r="BW5" s="326"/>
      <c r="BX5" s="326"/>
      <c r="BY5" s="326"/>
      <c r="BZ5" s="326"/>
      <c r="CA5" s="326"/>
      <c r="CB5" s="325" t="s">
        <v>437</v>
      </c>
      <c r="CC5" s="325"/>
      <c r="CD5" s="324"/>
      <c r="CJ5" s="257" t="s">
        <v>567</v>
      </c>
      <c r="DZ5" s="362">
        <v>2008</v>
      </c>
      <c r="EA5" s="362">
        <v>2009</v>
      </c>
      <c r="EB5" s="362">
        <v>2010</v>
      </c>
      <c r="EC5" s="362">
        <v>2011</v>
      </c>
      <c r="ED5" s="362">
        <v>2012</v>
      </c>
      <c r="EE5" s="363" t="s">
        <v>321</v>
      </c>
      <c r="EF5" s="362" t="s">
        <v>417</v>
      </c>
      <c r="EG5" s="362" t="s">
        <v>418</v>
      </c>
      <c r="EH5" s="363" t="s">
        <v>522</v>
      </c>
      <c r="EI5" s="362" t="s">
        <v>523</v>
      </c>
      <c r="EJ5" s="324"/>
    </row>
    <row r="6" spans="1:166" s="256" customFormat="1" ht="15.6" customHeight="1" x14ac:dyDescent="0.25">
      <c r="B6" s="261"/>
      <c r="C6" s="261"/>
      <c r="F6" s="261"/>
      <c r="G6" s="261"/>
      <c r="T6" s="256" t="s">
        <v>352</v>
      </c>
      <c r="V6" s="256" t="s">
        <v>368</v>
      </c>
      <c r="X6" s="256" t="s">
        <v>367</v>
      </c>
      <c r="AB6" s="312"/>
      <c r="AN6" s="256" t="s">
        <v>352</v>
      </c>
      <c r="AP6" s="256" t="s">
        <v>568</v>
      </c>
      <c r="AR6" s="256" t="s">
        <v>366</v>
      </c>
      <c r="AS6"/>
      <c r="AT6" s="250" t="s">
        <v>506</v>
      </c>
      <c r="AV6" s="476">
        <v>0.02</v>
      </c>
      <c r="AX6" s="277" t="s">
        <v>106</v>
      </c>
      <c r="BA6" s="489">
        <f>'P&amp;L'!G50</f>
        <v>23381.721151124999</v>
      </c>
      <c r="BB6" s="489">
        <f>'P&amp;L'!H50</f>
        <v>20968.616474999999</v>
      </c>
      <c r="BC6" s="489">
        <f>'P&amp;L'!M50</f>
        <v>20214.100745</v>
      </c>
      <c r="BD6" s="475">
        <f>AVERAGE(BA6:BC6)</f>
        <v>21521.479457041667</v>
      </c>
      <c r="BG6"/>
      <c r="BH6" s="303" t="s">
        <v>591</v>
      </c>
      <c r="BI6" s="302" t="s">
        <v>594</v>
      </c>
      <c r="BJ6" s="301">
        <f>VLOOKUP(BI6,Comparables!$B:$T,3,FALSE)</f>
        <v>4740</v>
      </c>
      <c r="BK6" s="301">
        <f>VLOOKUP(BI6,Comparables!$B:$T,12,FALSE)</f>
        <v>608.79999999999995</v>
      </c>
      <c r="BL6" s="300">
        <f>BJ6/BK6</f>
        <v>7.7858081471747704</v>
      </c>
      <c r="BM6"/>
      <c r="BN6" s="14" t="s">
        <v>545</v>
      </c>
      <c r="BO6" s="317">
        <f>Biz2pl!H10</f>
        <v>1429.4400000000005</v>
      </c>
      <c r="BP6" s="323">
        <f>BO6*BL8/1000</f>
        <v>10.572388088227129</v>
      </c>
      <c r="BS6" s="268" t="s">
        <v>364</v>
      </c>
      <c r="BT6" s="322" t="s">
        <v>22</v>
      </c>
      <c r="BV6" s="322" t="s">
        <v>363</v>
      </c>
      <c r="BW6" s="322">
        <v>2013</v>
      </c>
      <c r="BX6" s="322">
        <v>2014</v>
      </c>
      <c r="BY6" s="322">
        <v>2015</v>
      </c>
      <c r="BZ6" s="322">
        <v>2016</v>
      </c>
      <c r="CA6" s="322">
        <v>2017</v>
      </c>
      <c r="CB6" s="378" t="s">
        <v>439</v>
      </c>
      <c r="CC6" s="378" t="s">
        <v>440</v>
      </c>
      <c r="CE6" s="379" t="s">
        <v>23</v>
      </c>
      <c r="CK6" s="256" t="s">
        <v>335</v>
      </c>
      <c r="CN6" s="258">
        <f>BP18</f>
        <v>125.88887255873918</v>
      </c>
      <c r="CP6" s="261"/>
      <c r="CQ6" s="261"/>
      <c r="CR6" s="261"/>
      <c r="DY6" s="256" t="str">
        <f>Ratios!B12</f>
        <v>Biz1</v>
      </c>
      <c r="DZ6" s="308">
        <f>Ratios!D12</f>
        <v>-4.5552031605805378E-2</v>
      </c>
      <c r="EA6" s="308">
        <f>Ratios!E12</f>
        <v>-0.14274739723157109</v>
      </c>
      <c r="EB6" s="308">
        <f>Ratios!F12</f>
        <v>-7.0843672702701019E-2</v>
      </c>
      <c r="EC6" s="308">
        <f>Ratios!G12</f>
        <v>2.7394216614516884E-2</v>
      </c>
      <c r="ED6" s="308">
        <f>Ratios!H12</f>
        <v>5.2397972043688658E-2</v>
      </c>
      <c r="EE6" s="308">
        <f>Ratios!M12</f>
        <v>4.4972980681425155E-2</v>
      </c>
      <c r="EF6" s="308">
        <f>Ratios!N12</f>
        <v>4.967422131349037E-2</v>
      </c>
      <c r="EG6" s="308">
        <f>Ratios!O12</f>
        <v>5.0476170277992047E-2</v>
      </c>
      <c r="EH6" s="308">
        <f>Ratios!P12</f>
        <v>4.9650597778383022E-2</v>
      </c>
      <c r="EI6" s="308">
        <f>Ratios!Q12</f>
        <v>4.3623462005123383E-2</v>
      </c>
      <c r="EJ6" s="308"/>
      <c r="EK6" s="308"/>
    </row>
    <row r="7" spans="1:166" s="256" customFormat="1" ht="15.6" customHeight="1" thickBot="1" x14ac:dyDescent="0.35">
      <c r="C7" s="324"/>
      <c r="D7" s="324"/>
      <c r="E7" s="324"/>
      <c r="F7" s="324"/>
      <c r="I7" s="256" t="s">
        <v>362</v>
      </c>
      <c r="K7" s="256" t="s">
        <v>352</v>
      </c>
      <c r="M7" s="597" t="s">
        <v>272</v>
      </c>
      <c r="N7" s="310" t="s">
        <v>361</v>
      </c>
      <c r="P7" s="256" t="s">
        <v>234</v>
      </c>
      <c r="R7" s="256" t="s">
        <v>360</v>
      </c>
      <c r="V7" s="256" t="s">
        <v>359</v>
      </c>
      <c r="X7" s="256" t="s">
        <v>358</v>
      </c>
      <c r="Z7" s="256" t="s">
        <v>354</v>
      </c>
      <c r="AP7" s="265" t="s">
        <v>357</v>
      </c>
      <c r="AR7" s="265" t="s">
        <v>356</v>
      </c>
      <c r="AS7"/>
      <c r="AT7" s="277" t="s">
        <v>507</v>
      </c>
      <c r="AU7" s="499" t="s">
        <v>504</v>
      </c>
      <c r="AV7" s="477">
        <f>AW29</f>
        <v>3.9899999999999998E-2</v>
      </c>
      <c r="AX7" s="277" t="s">
        <v>304</v>
      </c>
      <c r="BA7" s="484">
        <f>BA6/BA5</f>
        <v>7.2027974712355988E-2</v>
      </c>
      <c r="BB7" s="484">
        <f>BB6/BB5</f>
        <v>9.1769185379858453E-2</v>
      </c>
      <c r="BC7" s="484">
        <f>BC6/BC5</f>
        <v>8.5942844275607555E-2</v>
      </c>
      <c r="BD7" s="484">
        <f>BD6/BD5</f>
        <v>8.1901618728411299E-2</v>
      </c>
      <c r="BG7"/>
      <c r="BH7" s="303" t="s">
        <v>592</v>
      </c>
      <c r="BI7" s="302" t="s">
        <v>595</v>
      </c>
      <c r="BJ7" s="321">
        <f>VLOOKUP(BI7,Comparables!$B:$T,3,FALSE)</f>
        <v>122.27</v>
      </c>
      <c r="BK7" s="320">
        <f>VLOOKUP(BI7,Comparables!$B:$T,12,FALSE)</f>
        <v>30.87</v>
      </c>
      <c r="BL7" s="319">
        <f>BJ7/BK7</f>
        <v>3.960803368966634</v>
      </c>
      <c r="BM7"/>
      <c r="BN7" s="318"/>
      <c r="BO7" s="318"/>
      <c r="BP7" s="316"/>
      <c r="BT7" s="272"/>
      <c r="CK7" s="256" t="s">
        <v>330</v>
      </c>
      <c r="CN7" s="258">
        <f ca="1">BP19</f>
        <v>-236.86251726227709</v>
      </c>
      <c r="CY7" s="256" t="s">
        <v>353</v>
      </c>
      <c r="CZ7" s="256" t="s">
        <v>352</v>
      </c>
      <c r="DY7" s="256" t="str">
        <f>Ratios!B13</f>
        <v>Biz2</v>
      </c>
      <c r="DZ7" s="308">
        <f>Ratios!D13</f>
        <v>1.1845206386719586E-2</v>
      </c>
      <c r="EA7" s="308">
        <f>Ratios!E13</f>
        <v>3.6989128923735647E-2</v>
      </c>
      <c r="EB7" s="308">
        <f>Ratios!F13</f>
        <v>5.4678821809894224E-2</v>
      </c>
      <c r="EC7" s="308">
        <f>Ratios!G13</f>
        <v>2.1695374710566435E-2</v>
      </c>
      <c r="ED7" s="308">
        <f>Ratios!H13</f>
        <v>1.1455039387115649E-2</v>
      </c>
      <c r="EE7" s="308">
        <f>Ratios!M13</f>
        <v>2.0299594020601611E-2</v>
      </c>
      <c r="EF7" s="308">
        <f>Ratios!N13</f>
        <v>1.8962626838279952E-2</v>
      </c>
      <c r="EG7" s="308">
        <f>Ratios!O13</f>
        <v>1.7423657908334205E-2</v>
      </c>
      <c r="EH7" s="308">
        <f>Ratios!P13</f>
        <v>1.7423657908334205E-2</v>
      </c>
      <c r="EI7" s="308">
        <f>Ratios!Q13</f>
        <v>1.7423657908334205E-2</v>
      </c>
      <c r="EJ7" s="308"/>
      <c r="EK7" s="308"/>
      <c r="EO7" s="395"/>
      <c r="FA7" s="3" t="str">
        <f>Biz1bs!D2</f>
        <v>Fiscal Years:</v>
      </c>
      <c r="FB7" s="3"/>
      <c r="FC7" s="3"/>
      <c r="FD7" s="4"/>
      <c r="FE7" s="125"/>
      <c r="FF7" s="126"/>
      <c r="FG7" s="4"/>
      <c r="FH7" s="4"/>
      <c r="FI7" s="4"/>
    </row>
    <row r="8" spans="1:166" s="256" customFormat="1" ht="15.6" customHeight="1" thickBot="1" x14ac:dyDescent="0.3">
      <c r="C8" s="404" t="s">
        <v>468</v>
      </c>
      <c r="E8" s="261" t="s">
        <v>597</v>
      </c>
      <c r="M8" s="597"/>
      <c r="N8" s="256" t="s">
        <v>351</v>
      </c>
      <c r="P8" s="256" t="s">
        <v>227</v>
      </c>
      <c r="R8" s="256" t="s">
        <v>350</v>
      </c>
      <c r="V8" s="256" t="s">
        <v>349</v>
      </c>
      <c r="X8" s="256" t="s">
        <v>348</v>
      </c>
      <c r="AP8" s="256" t="s">
        <v>347</v>
      </c>
      <c r="AR8" s="256" t="s">
        <v>346</v>
      </c>
      <c r="AS8" s="304"/>
      <c r="AT8" s="505" t="s">
        <v>581</v>
      </c>
      <c r="AU8" s="508"/>
      <c r="AV8" s="491">
        <f>AV6+AV4*AV7</f>
        <v>0.153665</v>
      </c>
      <c r="AX8" s="506" t="s">
        <v>582</v>
      </c>
      <c r="AY8" s="483"/>
      <c r="AZ8" s="483"/>
      <c r="BA8" s="490">
        <f>BD7</f>
        <v>8.1901618728411299E-2</v>
      </c>
      <c r="BG8"/>
      <c r="BH8" s="19"/>
      <c r="BI8" s="302"/>
      <c r="BJ8" s="293" t="s">
        <v>277</v>
      </c>
      <c r="BK8" s="292"/>
      <c r="BL8" s="291">
        <f>SUM(BJ5:BJ7)/SUM(BK5:BK7)</f>
        <v>7.3961747874881958</v>
      </c>
      <c r="BM8"/>
      <c r="BN8" s="31" t="s">
        <v>588</v>
      </c>
      <c r="BO8" s="315">
        <f>SUM(BO5:BO7)</f>
        <v>47050.159831370525</v>
      </c>
      <c r="BP8" s="271">
        <f>SUM(BP5:BP7)</f>
        <v>347.99120589207251</v>
      </c>
      <c r="BS8" s="314" t="s">
        <v>586</v>
      </c>
      <c r="BT8" s="272"/>
      <c r="CE8" s="257"/>
      <c r="CK8" s="256" t="s">
        <v>493</v>
      </c>
      <c r="CN8" s="258">
        <f>BalSheet!H149/1000</f>
        <v>213.74887069129258</v>
      </c>
      <c r="CW8" s="256" t="str">
        <f>BN5</f>
        <v>Biz1</v>
      </c>
      <c r="CY8" s="383">
        <f>BP5</f>
        <v>337.4188178038454</v>
      </c>
      <c r="CZ8" s="383">
        <f ca="1">CE9</f>
        <v>190.53477433304906</v>
      </c>
      <c r="DC8" s="394">
        <f>CY8/SUM($CY$8:$CY$12)</f>
        <v>0.96961880671344869</v>
      </c>
      <c r="DD8" s="408">
        <f t="shared" ref="DD8:DD9" si="0">CY8</f>
        <v>337.4188178038454</v>
      </c>
      <c r="DE8" s="394">
        <f ca="1">CZ8/SUM($CZ$8:$CZ$12)</f>
        <v>-12.908699190355113</v>
      </c>
      <c r="DF8" s="408">
        <f t="shared" ref="DF8:DF9" ca="1" si="1">CZ8</f>
        <v>190.53477433304906</v>
      </c>
      <c r="DZ8" s="308"/>
      <c r="EA8" s="308"/>
      <c r="EB8" s="308"/>
      <c r="EC8" s="308"/>
      <c r="ED8" s="308"/>
      <c r="EE8" s="308"/>
      <c r="EF8" s="308"/>
      <c r="EG8" s="308"/>
      <c r="EH8" s="308"/>
      <c r="EI8" s="308"/>
      <c r="EJ8" s="308"/>
      <c r="EK8" s="308"/>
      <c r="EO8" s="256" t="s">
        <v>16</v>
      </c>
      <c r="EP8" s="256" t="s">
        <v>92</v>
      </c>
      <c r="EQ8" s="256" t="s">
        <v>589</v>
      </c>
      <c r="ER8" s="256" t="s">
        <v>448</v>
      </c>
      <c r="ES8" s="256" t="s">
        <v>447</v>
      </c>
      <c r="FA8" s="7">
        <f>Biz1bs!D3</f>
        <v>40543</v>
      </c>
      <c r="FB8" s="7">
        <f>Biz1bs!E3</f>
        <v>40908</v>
      </c>
      <c r="FC8" s="7">
        <f>Biz1bs!F3</f>
        <v>41274</v>
      </c>
      <c r="FD8" s="7">
        <f>Biz1bs!G3</f>
        <v>41639</v>
      </c>
      <c r="FE8" s="7">
        <f>Biz1bs!H3</f>
        <v>42004</v>
      </c>
      <c r="FF8" s="127" t="s">
        <v>321</v>
      </c>
      <c r="FG8" s="7" t="s">
        <v>417</v>
      </c>
      <c r="FH8" s="127" t="s">
        <v>418</v>
      </c>
      <c r="FI8" s="7" t="s">
        <v>522</v>
      </c>
      <c r="FJ8" s="127" t="s">
        <v>523</v>
      </c>
    </row>
    <row r="9" spans="1:166" s="256" customFormat="1" ht="15.6" customHeight="1" x14ac:dyDescent="0.25">
      <c r="M9" s="313"/>
      <c r="V9" s="256" t="s">
        <v>343</v>
      </c>
      <c r="X9" s="256" t="s">
        <v>342</v>
      </c>
      <c r="Z9" s="256" t="s">
        <v>338</v>
      </c>
      <c r="AB9" s="312"/>
      <c r="AP9" s="265" t="s">
        <v>341</v>
      </c>
      <c r="AR9" s="256" t="s">
        <v>340</v>
      </c>
      <c r="AS9"/>
      <c r="AX9"/>
      <c r="BB9"/>
      <c r="BG9"/>
      <c r="BH9" s="294"/>
      <c r="BI9" s="302"/>
      <c r="BJ9"/>
      <c r="BK9"/>
      <c r="BL9" s="300"/>
      <c r="BM9"/>
      <c r="BN9" s="14"/>
      <c r="BO9" s="295"/>
      <c r="BP9" s="10"/>
      <c r="BS9" s="256" t="s">
        <v>544</v>
      </c>
      <c r="BT9" s="380">
        <f>BA21</f>
        <v>0.13115630015403151</v>
      </c>
      <c r="BV9" s="297">
        <f ca="1">'P&amp;L'!H111/1000</f>
        <v>42.624862539779848</v>
      </c>
      <c r="BW9" s="297">
        <f ca="1">'P&amp;L'!M111/1000</f>
        <v>-24.636554904391971</v>
      </c>
      <c r="BX9" s="297">
        <f ca="1">'P&amp;L'!N111/1000</f>
        <v>32.991475161873403</v>
      </c>
      <c r="BY9" s="297">
        <f ca="1">'P&amp;L'!O111/1000</f>
        <v>23.294306520776988</v>
      </c>
      <c r="BZ9" s="297">
        <f ca="1">'P&amp;L'!P111/1000</f>
        <v>26.118264273073589</v>
      </c>
      <c r="CA9" s="297">
        <f ca="1">'P&amp;L'!Q111/1000</f>
        <v>8.4107449073139815</v>
      </c>
      <c r="CB9" s="297">
        <f ca="1">'P&amp;L'!E133/1000</f>
        <v>52.080191530997247</v>
      </c>
      <c r="CC9" s="297">
        <f ca="1">'P&amp;L'!F133/1000</f>
        <v>29.651484303625985</v>
      </c>
      <c r="CE9" s="296">
        <f ca="1">SUM(BV9:CD9)</f>
        <v>190.53477433304906</v>
      </c>
      <c r="CF9" s="359">
        <f ca="1">CE9*1000-Biz1pl!D33</f>
        <v>0</v>
      </c>
      <c r="CW9" s="256" t="s">
        <v>545</v>
      </c>
      <c r="CY9" s="383">
        <f>BP6</f>
        <v>10.572388088227129</v>
      </c>
      <c r="CZ9" s="383">
        <f ca="1">CE10</f>
        <v>-3.1597326620417023</v>
      </c>
      <c r="DC9" s="394">
        <f>CY9/SUM($CY$8:$CY$12)</f>
        <v>3.0381193286551311E-2</v>
      </c>
      <c r="DD9" s="408">
        <f t="shared" si="0"/>
        <v>10.572388088227129</v>
      </c>
      <c r="DE9" s="394">
        <f ca="1">CZ9/SUM($CZ$8:$CZ$12)</f>
        <v>0.21407136098390137</v>
      </c>
      <c r="DF9" s="408">
        <f t="shared" ca="1" si="1"/>
        <v>-3.1597326620417023</v>
      </c>
      <c r="EJ9" s="308"/>
      <c r="EK9" s="308"/>
      <c r="EN9" s="256" t="str">
        <f>BN5</f>
        <v>Biz1</v>
      </c>
      <c r="EO9" s="281">
        <f>(Biz1pl!H10)/1000</f>
        <v>45.620719831370522</v>
      </c>
      <c r="EP9" s="281">
        <f>(Biz1pl!H25)/1000</f>
        <v>26.635305209065269</v>
      </c>
      <c r="EQ9" s="281">
        <f>Biz1pl!H21/1000</f>
        <v>12.669787767253782</v>
      </c>
      <c r="ER9" s="281">
        <f t="shared" ref="ER9:ES10" si="2">CY8</f>
        <v>337.4188178038454</v>
      </c>
      <c r="ES9" s="281">
        <f t="shared" ca="1" si="2"/>
        <v>190.53477433304906</v>
      </c>
      <c r="EZ9" s="256" t="s">
        <v>544</v>
      </c>
      <c r="FA9" s="361">
        <f>Biz1bs!D41</f>
        <v>39502.0475080303</v>
      </c>
      <c r="FB9" s="361">
        <f>Biz1bs!E41</f>
        <v>7809.8155080303113</v>
      </c>
      <c r="FC9" s="361">
        <f>Biz1bs!F41</f>
        <v>-4614.8624919696886</v>
      </c>
      <c r="FD9" s="361">
        <f>Biz1bs!G41</f>
        <v>13455.361355530826</v>
      </c>
      <c r="FE9" s="361">
        <f>Biz1bs!H41</f>
        <v>2314.3418056272785</v>
      </c>
      <c r="FF9" s="361">
        <f>Biz1bs!M41</f>
        <v>58230.164471641328</v>
      </c>
      <c r="FG9" s="361">
        <f>Biz1bs!N41</f>
        <v>91318.396422825579</v>
      </c>
      <c r="FH9" s="361">
        <f>Biz1bs!O41</f>
        <v>127207.64948811987</v>
      </c>
      <c r="FI9" s="361">
        <f>Biz1bs!P41</f>
        <v>165602.56789462987</v>
      </c>
      <c r="FJ9" s="361">
        <f>Biz1bs!Q41</f>
        <v>188049.91934213886</v>
      </c>
    </row>
    <row r="10" spans="1:166" s="256" customFormat="1" ht="15.6" customHeight="1" x14ac:dyDescent="0.25">
      <c r="AP10" s="265" t="s">
        <v>337</v>
      </c>
      <c r="AR10" s="265" t="s">
        <v>336</v>
      </c>
      <c r="AS10"/>
      <c r="AY10"/>
      <c r="AZ10"/>
      <c r="BA10"/>
      <c r="BG10"/>
      <c r="BH10" s="294"/>
      <c r="BI10" s="30"/>
      <c r="BJ10" s="30"/>
      <c r="BK10" s="30"/>
      <c r="BL10" s="30"/>
      <c r="BM10"/>
      <c r="BN10" s="31" t="s">
        <v>276</v>
      </c>
      <c r="BO10" s="290">
        <f>CORPpl!H10</f>
        <v>-30312.920811585027</v>
      </c>
      <c r="BP10" s="271">
        <f>BO$10*BL10/1000</f>
        <v>0</v>
      </c>
      <c r="BS10" s="256" t="s">
        <v>545</v>
      </c>
      <c r="BT10" s="380">
        <f>BA21</f>
        <v>0.13115630015403151</v>
      </c>
      <c r="BV10" s="297">
        <f ca="1">'P&amp;L'!H112/1000</f>
        <v>3.3643363017572812</v>
      </c>
      <c r="BW10" s="297">
        <f ca="1">'P&amp;L'!M112/1000</f>
        <v>-6.0476664540483611</v>
      </c>
      <c r="BX10" s="297">
        <f ca="1">'P&amp;L'!N112/1000</f>
        <v>2.2622140779379643</v>
      </c>
      <c r="BY10" s="297">
        <f ca="1">'P&amp;L'!O112/1000</f>
        <v>0.16616994620425635</v>
      </c>
      <c r="BZ10" s="297">
        <f ca="1">'P&amp;L'!P112/1000</f>
        <v>0.30078019582599308</v>
      </c>
      <c r="CA10" s="297">
        <f ca="1">'P&amp;L'!Q112/1000</f>
        <v>-0.30744272580233062</v>
      </c>
      <c r="CB10" s="297">
        <f ca="1">'P&amp;L'!E134/1000</f>
        <v>-1.9037167600545706</v>
      </c>
      <c r="CC10" s="297">
        <f ca="1">'P&amp;L'!F134/1000</f>
        <v>-0.9944072438619348</v>
      </c>
      <c r="CE10" s="296">
        <f t="shared" ref="CE10" ca="1" si="3">SUM(BV10:CD10)</f>
        <v>-3.1597326620417023</v>
      </c>
      <c r="CF10" s="359">
        <f ca="1">CE10*1000-Biz2pl!D33</f>
        <v>0</v>
      </c>
      <c r="CW10" s="256" t="s">
        <v>473</v>
      </c>
      <c r="CY10" s="383">
        <f>BP10</f>
        <v>0</v>
      </c>
      <c r="CZ10" s="383">
        <f ca="1">CE13</f>
        <v>-202.13522559995113</v>
      </c>
      <c r="DC10" s="394">
        <f>CY10/SUM($CY$8:$CY$12)</f>
        <v>0</v>
      </c>
      <c r="DD10" s="408">
        <f>CY10</f>
        <v>0</v>
      </c>
      <c r="DE10" s="394">
        <f ca="1">CZ10/SUM($CZ$8:$CZ$12)</f>
        <v>13.694627829371212</v>
      </c>
      <c r="DF10" s="408">
        <f ca="1">CZ10</f>
        <v>-202.13522559995113</v>
      </c>
      <c r="DL10" s="256">
        <f>Ratios!$E$143</f>
        <v>2011</v>
      </c>
      <c r="DM10" s="256">
        <f>Ratios!$J$143</f>
        <v>2012</v>
      </c>
      <c r="DN10" s="256">
        <f>Ratios!$O$143</f>
        <v>2013</v>
      </c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N10" s="256" t="str">
        <f>BN6</f>
        <v>Biz2</v>
      </c>
      <c r="EO10" s="281">
        <f>(Biz2pl!H10)/1000</f>
        <v>1.4294400000000005</v>
      </c>
      <c r="EP10" s="281">
        <f>(Biz2pl!H25)/1000</f>
        <v>2.102297083999134</v>
      </c>
      <c r="EQ10" s="281">
        <f>Biz2pl!H21/1000</f>
        <v>-0.94797047499999954</v>
      </c>
      <c r="ER10" s="281">
        <f t="shared" si="2"/>
        <v>10.572388088227129</v>
      </c>
      <c r="ES10" s="281">
        <f t="shared" ca="1" si="2"/>
        <v>-3.1597326620417023</v>
      </c>
      <c r="EZ10" s="256" t="s">
        <v>545</v>
      </c>
      <c r="FA10" s="20">
        <f>Biz2bs!D41</f>
        <v>-1735.5127124722858</v>
      </c>
      <c r="FB10" s="20">
        <f>Biz2bs!E41</f>
        <v>2256.5602875277109</v>
      </c>
      <c r="FC10" s="20">
        <f>Biz2bs!F41</f>
        <v>8667.1642875277175</v>
      </c>
      <c r="FD10" s="20">
        <f>Biz2bs!G41</f>
        <v>5549.9262875277127</v>
      </c>
      <c r="FE10" s="20">
        <f>Biz2bs!H41</f>
        <v>9268.9558125277181</v>
      </c>
      <c r="FF10" s="20">
        <f>Biz2bs!M41</f>
        <v>12249.108244452516</v>
      </c>
      <c r="FG10" s="20">
        <f>Biz2bs!N41</f>
        <v>13857.554313579854</v>
      </c>
      <c r="FH10" s="20">
        <f>Biz2bs!O41</f>
        <v>15587.656150870363</v>
      </c>
      <c r="FI10" s="20">
        <f>Biz2bs!P41</f>
        <v>17415.033727160862</v>
      </c>
      <c r="FJ10" s="20">
        <f>Biz2bs!Q41</f>
        <v>19242.411303451368</v>
      </c>
    </row>
    <row r="11" spans="1:166" s="256" customFormat="1" ht="15.6" customHeight="1" thickBot="1" x14ac:dyDescent="0.3">
      <c r="C11" s="268" t="s">
        <v>460</v>
      </c>
      <c r="E11" s="268" t="s">
        <v>497</v>
      </c>
      <c r="AB11" s="306" t="s">
        <v>331</v>
      </c>
      <c r="AP11" s="256" t="s">
        <v>334</v>
      </c>
      <c r="AR11" s="256" t="s">
        <v>333</v>
      </c>
      <c r="AS11"/>
      <c r="AY11"/>
      <c r="AZ11"/>
      <c r="BA11"/>
      <c r="BG11"/>
      <c r="BH11" s="284"/>
      <c r="BI11" s="282"/>
      <c r="BJ11" s="284"/>
      <c r="BK11" s="284"/>
      <c r="BL11" s="284"/>
      <c r="BM11" s="284"/>
      <c r="BN11" s="284"/>
      <c r="BO11" s="283"/>
      <c r="BP11" s="282"/>
      <c r="BS11" s="298" t="s">
        <v>587</v>
      </c>
      <c r="BT11" s="380"/>
      <c r="BV11" s="297">
        <f t="shared" ref="BV11:CC11" ca="1" si="4">SUM(BV9:BV10)</f>
        <v>45.989198841537132</v>
      </c>
      <c r="BW11" s="297">
        <f t="shared" ca="1" si="4"/>
        <v>-30.684221358440332</v>
      </c>
      <c r="BX11" s="297">
        <f t="shared" ca="1" si="4"/>
        <v>35.253689239811365</v>
      </c>
      <c r="BY11" s="297">
        <f t="shared" ca="1" si="4"/>
        <v>23.460476466981245</v>
      </c>
      <c r="BZ11" s="297">
        <f t="shared" ca="1" si="4"/>
        <v>26.419044468899582</v>
      </c>
      <c r="CA11" s="297">
        <f t="shared" ca="1" si="4"/>
        <v>8.1033021815116513</v>
      </c>
      <c r="CB11" s="297">
        <f t="shared" ca="1" si="4"/>
        <v>50.176474770942676</v>
      </c>
      <c r="CC11" s="297">
        <f t="shared" ca="1" si="4"/>
        <v>28.657077059764049</v>
      </c>
      <c r="CE11" s="296">
        <f ca="1">SUM(CE9:CE10)</f>
        <v>187.37504167100735</v>
      </c>
      <c r="CF11" s="359" t="e">
        <f>#REF!*1000-#REF!</f>
        <v>#REF!</v>
      </c>
      <c r="CJ11" s="257" t="s">
        <v>569</v>
      </c>
      <c r="CY11" s="383"/>
      <c r="CZ11" s="383"/>
      <c r="DC11" s="394"/>
      <c r="DD11" s="408"/>
      <c r="DE11" s="394"/>
      <c r="DF11" s="408"/>
      <c r="DK11" s="193" t="str">
        <f>Ratios!B145</f>
        <v>Biz1</v>
      </c>
      <c r="DL11" s="192">
        <f>Ratios!H145</f>
        <v>2.5496327242232808</v>
      </c>
      <c r="DM11" s="192">
        <f>Ratios!M145</f>
        <v>1.6946747088463716</v>
      </c>
      <c r="DN11" s="192">
        <f>Ratios!R145</f>
        <v>1.8242441312560993</v>
      </c>
      <c r="EN11" s="256" t="str">
        <f>BN10</f>
        <v>Corporate Overhead</v>
      </c>
      <c r="EO11" s="281">
        <f>(CORPpl!H10)/1000</f>
        <v>-30.312920811585027</v>
      </c>
      <c r="EP11" s="281">
        <f>(CORPpl!H25)/1000</f>
        <v>-1.6553584786549072</v>
      </c>
      <c r="EQ11" s="281">
        <f>CORPpl!H21/1000</f>
        <v>-30.272498411951016</v>
      </c>
      <c r="ER11" s="281">
        <f>CY10</f>
        <v>0</v>
      </c>
      <c r="ES11" s="281">
        <f ca="1">CZ10</f>
        <v>-202.13522559995113</v>
      </c>
      <c r="EZ11" s="311"/>
      <c r="FA11" s="509"/>
      <c r="FB11" s="509"/>
      <c r="FC11" s="509"/>
      <c r="FD11" s="509"/>
      <c r="FE11" s="509"/>
      <c r="FF11" s="509"/>
      <c r="FG11" s="509"/>
      <c r="FH11" s="509"/>
      <c r="FI11" s="509"/>
      <c r="FJ11" s="509"/>
    </row>
    <row r="12" spans="1:166" s="256" customFormat="1" ht="15.6" customHeight="1" thickTop="1" x14ac:dyDescent="0.25">
      <c r="D12" s="256" t="s">
        <v>393</v>
      </c>
      <c r="E12" s="256" t="s">
        <v>469</v>
      </c>
      <c r="F12" s="256">
        <v>1</v>
      </c>
      <c r="I12" s="256" t="s">
        <v>329</v>
      </c>
      <c r="K12" s="256" t="s">
        <v>326</v>
      </c>
      <c r="M12" s="261" t="s">
        <v>328</v>
      </c>
      <c r="N12" s="261"/>
      <c r="P12" s="256" t="s">
        <v>243</v>
      </c>
      <c r="R12" s="256" t="s">
        <v>327</v>
      </c>
      <c r="T12" s="256" t="s">
        <v>326</v>
      </c>
      <c r="V12" s="256" t="s">
        <v>286</v>
      </c>
      <c r="X12" s="256" t="s">
        <v>325</v>
      </c>
      <c r="Z12" s="600" t="s">
        <v>319</v>
      </c>
      <c r="AB12" s="600" t="s">
        <v>272</v>
      </c>
      <c r="AC12" s="310" t="s">
        <v>318</v>
      </c>
      <c r="AD12" s="272" t="s">
        <v>317</v>
      </c>
      <c r="AE12" s="600" t="s">
        <v>316</v>
      </c>
      <c r="AF12" s="310" t="s">
        <v>315</v>
      </c>
      <c r="AP12" s="265" t="s">
        <v>324</v>
      </c>
      <c r="AR12" s="256" t="s">
        <v>323</v>
      </c>
      <c r="AS12"/>
      <c r="BG12"/>
      <c r="BK12" s="36"/>
      <c r="BS12" s="298"/>
      <c r="BT12" s="380"/>
      <c r="BV12" s="297"/>
      <c r="BW12" s="297"/>
      <c r="BX12" s="297"/>
      <c r="BY12" s="297"/>
      <c r="BZ12" s="297"/>
      <c r="CA12" s="297"/>
      <c r="CB12" s="297"/>
      <c r="CC12" s="297"/>
      <c r="CE12" s="296"/>
      <c r="CF12" s="360"/>
      <c r="CK12" s="256" t="s">
        <v>309</v>
      </c>
      <c r="CN12" s="547">
        <f>Comparables!C9/Presentation!CN13</f>
        <v>18.748682201999728</v>
      </c>
      <c r="CY12" s="383"/>
      <c r="CZ12" s="383"/>
      <c r="DC12" s="394"/>
      <c r="DD12" s="408"/>
      <c r="DE12" s="394"/>
      <c r="DF12" s="408"/>
      <c r="DK12" s="193" t="str">
        <f>Ratios!B146</f>
        <v>Biz2</v>
      </c>
      <c r="DL12" s="192">
        <f>Ratios!H146</f>
        <v>5.3373594335693282</v>
      </c>
      <c r="DM12" s="192">
        <f>Ratios!M146</f>
        <v>6.9173942243116313</v>
      </c>
      <c r="DN12" s="192">
        <f>Ratios!R146</f>
        <v>4.3025771911176918</v>
      </c>
      <c r="EO12" s="281"/>
      <c r="EP12" s="281"/>
      <c r="EQ12" s="281"/>
      <c r="ER12" s="281"/>
      <c r="ES12" s="281"/>
      <c r="EZ12" s="257" t="s">
        <v>513</v>
      </c>
      <c r="FA12" s="510">
        <f>SUM(FA9:FA11)</f>
        <v>37766.534795558015</v>
      </c>
      <c r="FB12" s="510">
        <f>SUM(FB9:FB11)</f>
        <v>10066.375795558022</v>
      </c>
      <c r="FC12" s="510">
        <f t="shared" ref="FC12:FJ12" si="5">SUM(FC9:FC11)</f>
        <v>4052.301795558029</v>
      </c>
      <c r="FD12" s="510">
        <f t="shared" si="5"/>
        <v>19005.287643058538</v>
      </c>
      <c r="FE12" s="510">
        <f t="shared" si="5"/>
        <v>11583.297618154997</v>
      </c>
      <c r="FF12" s="510">
        <f t="shared" si="5"/>
        <v>70479.272716093838</v>
      </c>
      <c r="FG12" s="510">
        <f t="shared" si="5"/>
        <v>105175.95073640543</v>
      </c>
      <c r="FH12" s="510">
        <f t="shared" si="5"/>
        <v>142795.30563899025</v>
      </c>
      <c r="FI12" s="510">
        <f t="shared" si="5"/>
        <v>183017.60162179073</v>
      </c>
      <c r="FJ12" s="510">
        <f t="shared" si="5"/>
        <v>207292.33064559023</v>
      </c>
    </row>
    <row r="13" spans="1:166" s="256" customFormat="1" ht="15.6" customHeight="1" x14ac:dyDescent="0.25">
      <c r="D13" s="256" t="s">
        <v>392</v>
      </c>
      <c r="E13" s="256" t="s">
        <v>470</v>
      </c>
      <c r="F13" s="256">
        <v>2</v>
      </c>
      <c r="M13" s="261" t="s">
        <v>314</v>
      </c>
      <c r="N13" s="261"/>
      <c r="T13" s="309"/>
      <c r="V13" s="256" t="s">
        <v>259</v>
      </c>
      <c r="X13" s="256" t="s">
        <v>313</v>
      </c>
      <c r="Z13" s="600"/>
      <c r="AB13" s="600"/>
      <c r="AC13" s="272" t="s">
        <v>311</v>
      </c>
      <c r="AE13" s="600"/>
      <c r="AF13" s="272" t="s">
        <v>310</v>
      </c>
      <c r="AR13" s="256" t="s">
        <v>312</v>
      </c>
      <c r="AS13"/>
      <c r="BG13"/>
      <c r="BH13" s="268" t="s">
        <v>256</v>
      </c>
      <c r="BJ13" s="278"/>
      <c r="BK13" s="277" t="s">
        <v>255</v>
      </c>
      <c r="BL13" s="36"/>
      <c r="BM13" s="36"/>
      <c r="BN13" t="s">
        <v>254</v>
      </c>
      <c r="BO13" s="36"/>
      <c r="BP13" s="389">
        <f>SUM(BP8,BP10)</f>
        <v>347.99120589207251</v>
      </c>
      <c r="BS13" s="298" t="s">
        <v>276</v>
      </c>
      <c r="BT13" s="380">
        <f>BA21</f>
        <v>0.13115630015403151</v>
      </c>
      <c r="BV13" s="297">
        <f ca="1">'P&amp;L'!H113/1000</f>
        <v>-2.649094014612972</v>
      </c>
      <c r="BW13" s="297">
        <f ca="1">'P&amp;L'!M113/1000</f>
        <v>-15.402915022929074</v>
      </c>
      <c r="BX13" s="297">
        <f ca="1">'P&amp;L'!N113/1000</f>
        <v>-15.364868778993849</v>
      </c>
      <c r="BY13" s="297">
        <f ca="1">'P&amp;L'!O113/1000</f>
        <v>-14.998236218826436</v>
      </c>
      <c r="BZ13" s="297">
        <f ca="1">'P&amp;L'!P113/1000</f>
        <v>-15.83686939345818</v>
      </c>
      <c r="CA13" s="297">
        <f ca="1">'P&amp;L'!Q113/1000</f>
        <v>-14.000602207936826</v>
      </c>
      <c r="CB13" s="297">
        <f ca="1">'P&amp;L'!E135/1000</f>
        <v>-82.807765543789003</v>
      </c>
      <c r="CC13" s="297">
        <f ca="1">'P&amp;L'!F135/1000</f>
        <v>-41.074874419404807</v>
      </c>
      <c r="CE13" s="296">
        <f ca="1">SUM(BV13:CD13)</f>
        <v>-202.13522559995113</v>
      </c>
      <c r="CF13" s="360"/>
      <c r="CK13" s="268" t="s">
        <v>305</v>
      </c>
      <c r="CN13" s="305">
        <f>'P&amp;L'!D137/1000</f>
        <v>26.668541000000001</v>
      </c>
      <c r="DK13" s="193"/>
      <c r="DL13" s="192"/>
      <c r="DM13" s="192"/>
      <c r="DN13" s="192"/>
      <c r="EO13" s="281"/>
      <c r="EP13" s="281"/>
      <c r="EQ13" s="281"/>
      <c r="ER13" s="281"/>
      <c r="ES13" s="281"/>
    </row>
    <row r="14" spans="1:166" s="256" customFormat="1" ht="15.6" customHeight="1" x14ac:dyDescent="0.25">
      <c r="D14" s="256" t="s">
        <v>391</v>
      </c>
      <c r="E14" s="256" t="s">
        <v>471</v>
      </c>
      <c r="F14" s="256">
        <v>3</v>
      </c>
      <c r="V14" s="256" t="s">
        <v>308</v>
      </c>
      <c r="X14" s="256" t="s">
        <v>307</v>
      </c>
      <c r="AB14" s="306" t="s">
        <v>306</v>
      </c>
      <c r="AS14"/>
      <c r="BG14"/>
      <c r="BH14" s="274" t="s">
        <v>250</v>
      </c>
      <c r="BK14" s="275"/>
      <c r="BL14" s="273"/>
      <c r="BM14" s="273"/>
      <c r="BN14" s="273" t="s">
        <v>249</v>
      </c>
      <c r="BO14" s="273"/>
      <c r="BP14" s="390">
        <f ca="1">'P&amp;L'!G131/1000</f>
        <v>-14.760183928943762</v>
      </c>
      <c r="BT14" s="272"/>
      <c r="BV14" s="281"/>
      <c r="BW14" s="281"/>
      <c r="BX14" s="281"/>
      <c r="BY14" s="281"/>
      <c r="BZ14" s="281"/>
      <c r="CA14" s="281"/>
      <c r="CB14" s="281"/>
      <c r="CC14" s="281"/>
      <c r="CE14" s="280"/>
      <c r="CF14" s="359" t="e">
        <f>#REF!*1000-#REF!</f>
        <v>#REF!</v>
      </c>
      <c r="CK14" s="256" t="s">
        <v>303</v>
      </c>
      <c r="CN14" s="258">
        <f>CN12*CN13</f>
        <v>500.00000000000006</v>
      </c>
      <c r="DK14" s="193"/>
      <c r="DL14" s="192"/>
      <c r="DM14" s="192"/>
      <c r="DN14" s="192"/>
      <c r="FA14" s="361"/>
      <c r="FB14" s="361"/>
      <c r="FC14" s="361"/>
      <c r="FD14" s="361"/>
      <c r="FE14" s="361"/>
      <c r="FF14" s="361"/>
      <c r="FG14" s="361"/>
      <c r="FH14" s="361"/>
      <c r="FI14" s="361"/>
      <c r="FJ14" s="361"/>
    </row>
    <row r="15" spans="1:166" s="256" customFormat="1" ht="15.6" customHeight="1" thickBot="1" x14ac:dyDescent="0.3">
      <c r="D15" s="256" t="s">
        <v>420</v>
      </c>
      <c r="E15" s="256" t="s">
        <v>598</v>
      </c>
      <c r="F15" s="256">
        <v>4</v>
      </c>
      <c r="AN15" s="256" t="s">
        <v>297</v>
      </c>
      <c r="AP15" s="256" t="s">
        <v>302</v>
      </c>
      <c r="AR15" s="256" t="s">
        <v>301</v>
      </c>
      <c r="AS15" s="304"/>
      <c r="BG15"/>
      <c r="BH15" s="274" t="s">
        <v>248</v>
      </c>
      <c r="BK15" s="386" t="s">
        <v>441</v>
      </c>
      <c r="BL15" s="387"/>
      <c r="BM15" s="387"/>
      <c r="BN15" s="387" t="s">
        <v>585</v>
      </c>
      <c r="BO15" s="273"/>
      <c r="BP15" s="390">
        <f>BD5/1000</f>
        <v>262.77233333333334</v>
      </c>
      <c r="BS15" s="288" t="s">
        <v>599</v>
      </c>
      <c r="BT15" s="381"/>
      <c r="BU15" s="288"/>
      <c r="BV15" s="289">
        <f t="shared" ref="BV15:CC15" ca="1" si="6">SUM(BV11:BV13)</f>
        <v>43.340104826924161</v>
      </c>
      <c r="BW15" s="289">
        <f t="shared" ca="1" si="6"/>
        <v>-46.087136381369405</v>
      </c>
      <c r="BX15" s="289">
        <f t="shared" ca="1" si="6"/>
        <v>19.888820460817517</v>
      </c>
      <c r="BY15" s="289">
        <f t="shared" ca="1" si="6"/>
        <v>8.4622402481548082</v>
      </c>
      <c r="BZ15" s="289">
        <f t="shared" ca="1" si="6"/>
        <v>10.582175075441402</v>
      </c>
      <c r="CA15" s="289">
        <f t="shared" ca="1" si="6"/>
        <v>-5.8973000264251745</v>
      </c>
      <c r="CB15" s="289">
        <f t="shared" ca="1" si="6"/>
        <v>-32.631290772846327</v>
      </c>
      <c r="CC15" s="289">
        <f t="shared" ca="1" si="6"/>
        <v>-12.417797359640758</v>
      </c>
      <c r="CD15" s="288"/>
      <c r="CE15" s="287">
        <f ca="1">SUM(CE11:CE13)</f>
        <v>-14.760183928943775</v>
      </c>
      <c r="CF15" s="360"/>
      <c r="DK15" s="193"/>
      <c r="DL15" s="192"/>
      <c r="DM15" s="192"/>
      <c r="DN15" s="192"/>
    </row>
    <row r="16" spans="1:166" s="256" customFormat="1" ht="15.6" customHeight="1" thickTop="1" thickBot="1" x14ac:dyDescent="0.3">
      <c r="Z16" s="268" t="s">
        <v>300</v>
      </c>
      <c r="AN16" s="256" t="s">
        <v>287</v>
      </c>
      <c r="AP16" s="256" t="s">
        <v>294</v>
      </c>
      <c r="AR16" s="256" t="s">
        <v>293</v>
      </c>
      <c r="AS16"/>
      <c r="AV16" s="501" t="s">
        <v>355</v>
      </c>
      <c r="AW16" s="502"/>
      <c r="AX16" s="502"/>
      <c r="AY16" s="502"/>
      <c r="AZ16" s="503"/>
      <c r="BA16" s="502"/>
      <c r="BG16"/>
      <c r="BH16" s="274" t="s">
        <v>247</v>
      </c>
      <c r="BK16" s="386" t="s">
        <v>237</v>
      </c>
      <c r="BL16" s="387"/>
      <c r="BM16" s="387"/>
      <c r="BN16" s="387" t="s">
        <v>236</v>
      </c>
      <c r="BO16" s="387"/>
      <c r="BP16" s="391">
        <f>VLOOKUP("co",Comparables!$B:$T,15,FALSE)</f>
        <v>40.67</v>
      </c>
      <c r="BV16" s="281"/>
      <c r="BW16" s="281"/>
      <c r="BX16" s="281"/>
      <c r="BY16" s="281"/>
      <c r="BZ16" s="281"/>
      <c r="CA16" s="281"/>
      <c r="CE16" s="385">
        <f ca="1">BP14-CE15</f>
        <v>0</v>
      </c>
      <c r="CF16" s="359" t="e">
        <f>#REF!*1000-#REF!</f>
        <v>#REF!</v>
      </c>
      <c r="EO16" s="256" t="s">
        <v>449</v>
      </c>
      <c r="ES16" s="256" t="s">
        <v>451</v>
      </c>
      <c r="FA16" s="361"/>
      <c r="FB16" s="361"/>
      <c r="FC16" s="361"/>
      <c r="FD16" s="361"/>
      <c r="FE16" s="361"/>
      <c r="FF16" s="361"/>
      <c r="FG16" s="361"/>
      <c r="FH16" s="361"/>
      <c r="FI16" s="361"/>
      <c r="FJ16" s="361"/>
    </row>
    <row r="17" spans="2:166" s="256" customFormat="1" ht="15.6" customHeight="1" thickBot="1" x14ac:dyDescent="0.3">
      <c r="C17" s="268" t="s">
        <v>23</v>
      </c>
      <c r="K17" s="256" t="s">
        <v>297</v>
      </c>
      <c r="M17" s="299" t="s">
        <v>299</v>
      </c>
      <c r="N17" s="261"/>
      <c r="P17" s="256" t="s">
        <v>243</v>
      </c>
      <c r="R17" s="256" t="s">
        <v>298</v>
      </c>
      <c r="T17" s="256" t="s">
        <v>297</v>
      </c>
      <c r="V17" s="256" t="s">
        <v>296</v>
      </c>
      <c r="X17" s="256" t="s">
        <v>295</v>
      </c>
      <c r="Z17" s="256" t="s">
        <v>292</v>
      </c>
      <c r="AP17" s="265" t="s">
        <v>285</v>
      </c>
      <c r="AR17" s="265" t="s">
        <v>284</v>
      </c>
      <c r="AS17"/>
      <c r="AY17" s="478" t="s">
        <v>505</v>
      </c>
      <c r="AZ17" s="478" t="s">
        <v>345</v>
      </c>
      <c r="BA17" s="478" t="s">
        <v>344</v>
      </c>
      <c r="BE17"/>
      <c r="BG17"/>
      <c r="BH17" s="272" t="s">
        <v>229</v>
      </c>
      <c r="BP17" s="384"/>
      <c r="BS17" s="254" t="s">
        <v>601</v>
      </c>
      <c r="CE17" s="257"/>
      <c r="CF17" s="360"/>
      <c r="EO17" s="256" t="s">
        <v>452</v>
      </c>
      <c r="EP17" s="256" t="s">
        <v>450</v>
      </c>
      <c r="EQ17" s="256" t="s">
        <v>452</v>
      </c>
      <c r="ER17" s="256" t="s">
        <v>450</v>
      </c>
      <c r="ES17" s="256" t="s">
        <v>16</v>
      </c>
    </row>
    <row r="18" spans="2:166" s="256" customFormat="1" ht="15.6" customHeight="1" thickTop="1" x14ac:dyDescent="0.25">
      <c r="D18" s="256" t="s">
        <v>355</v>
      </c>
      <c r="E18" s="256" t="s">
        <v>570</v>
      </c>
      <c r="F18" s="256">
        <v>5</v>
      </c>
      <c r="K18" s="256" t="s">
        <v>291</v>
      </c>
      <c r="M18" s="299" t="s">
        <v>290</v>
      </c>
      <c r="N18" s="261"/>
      <c r="P18" s="256" t="s">
        <v>289</v>
      </c>
      <c r="R18" s="256" t="s">
        <v>288</v>
      </c>
      <c r="T18" s="256" t="s">
        <v>287</v>
      </c>
      <c r="V18" s="256" t="s">
        <v>286</v>
      </c>
      <c r="X18" s="256" t="s">
        <v>266</v>
      </c>
      <c r="AP18" s="256" t="s">
        <v>281</v>
      </c>
      <c r="AR18" s="256" t="s">
        <v>280</v>
      </c>
      <c r="AS18"/>
      <c r="AV18" s="36" t="s">
        <v>339</v>
      </c>
      <c r="AY18" s="481">
        <f>Comparables!C9</f>
        <v>500</v>
      </c>
      <c r="AZ18" s="479">
        <f>AY18/AY$20</f>
        <v>0.68634839318977681</v>
      </c>
      <c r="BA18" s="484">
        <f>AV8</f>
        <v>0.153665</v>
      </c>
      <c r="BC18"/>
      <c r="BD18"/>
      <c r="BE18"/>
      <c r="BG18"/>
      <c r="BH18" s="268" t="s">
        <v>222</v>
      </c>
      <c r="BK18" s="267" t="s">
        <v>221</v>
      </c>
      <c r="BL18" s="266"/>
      <c r="BM18" s="266"/>
      <c r="BN18" s="266" t="s">
        <v>220</v>
      </c>
      <c r="BO18" s="266"/>
      <c r="BP18" s="392">
        <f>BP13-BP15+BP16</f>
        <v>125.88887255873918</v>
      </c>
      <c r="CF18" s="359">
        <f ca="1">CE13*1000-CORPpl!D33</f>
        <v>0</v>
      </c>
      <c r="EN18" s="256" t="str">
        <f t="shared" ref="EN18:EN19" si="7">EN9</f>
        <v>Biz1</v>
      </c>
      <c r="EO18" s="398">
        <f t="shared" ref="EO18:EO19" si="8">EP9/ER9</f>
        <v>7.8938410674384507E-2</v>
      </c>
      <c r="EP18" s="398">
        <f t="shared" ref="EP18:EP19" si="9">EQ9/ER9</f>
        <v>3.7549143968073587E-2</v>
      </c>
      <c r="EQ18" s="398">
        <f t="shared" ref="EQ18:EQ19" ca="1" si="10">EP9/ES9</f>
        <v>0.13979235707654897</v>
      </c>
      <c r="ER18" s="398">
        <f t="shared" ref="ER18:ER19" ca="1" si="11">EQ9/ES9</f>
        <v>6.6495933939635474E-2</v>
      </c>
      <c r="ES18" s="398">
        <f t="shared" ref="ES18:ES19" ca="1" si="12">EO9/ES9</f>
        <v>0.23943513718722481</v>
      </c>
      <c r="EZ18" s="256" t="s">
        <v>96</v>
      </c>
      <c r="FA18" s="361">
        <f>CORPbs!D41</f>
        <v>522362.18999999994</v>
      </c>
      <c r="FB18" s="361">
        <f>CORPbs!E41</f>
        <v>489580.80900000001</v>
      </c>
      <c r="FC18" s="361">
        <f>CORPbs!F41</f>
        <v>444184.05200000003</v>
      </c>
      <c r="FD18" s="361">
        <f>CORPbs!G41</f>
        <v>416700.41600000003</v>
      </c>
      <c r="FE18" s="361">
        <f>CORPbs!H41</f>
        <v>319080.25458804902</v>
      </c>
      <c r="FF18" s="361">
        <f>CORPbs!M41</f>
        <v>196210.20747781332</v>
      </c>
      <c r="FG18" s="361">
        <f>CORPbs!N41</f>
        <v>166490.56789428735</v>
      </c>
      <c r="FH18" s="361">
        <f>CORPbs!O41</f>
        <v>135134.69141932976</v>
      </c>
      <c r="FI18" s="361">
        <f>CORPbs!P41</f>
        <v>98386.814944372178</v>
      </c>
      <c r="FJ18" s="361">
        <f>CORPbs!Q41</f>
        <v>61639.117645014798</v>
      </c>
    </row>
    <row r="19" spans="2:166" s="256" customFormat="1" ht="15.6" customHeight="1" thickBot="1" x14ac:dyDescent="0.3">
      <c r="D19" s="256" t="s">
        <v>353</v>
      </c>
      <c r="E19" s="256" t="s">
        <v>571</v>
      </c>
      <c r="F19" s="256">
        <v>6</v>
      </c>
      <c r="V19" s="256" t="s">
        <v>283</v>
      </c>
      <c r="X19" s="256" t="s">
        <v>282</v>
      </c>
      <c r="Z19" s="256" t="s">
        <v>279</v>
      </c>
      <c r="AP19" s="265" t="s">
        <v>278</v>
      </c>
      <c r="AR19" s="265" t="s">
        <v>572</v>
      </c>
      <c r="AS19"/>
      <c r="AV19" s="229" t="s">
        <v>508</v>
      </c>
      <c r="AY19" s="500">
        <f>BB5/1000</f>
        <v>228.49299999999999</v>
      </c>
      <c r="AZ19" s="480">
        <f>AY19/AY$20</f>
        <v>0.3136516068102233</v>
      </c>
      <c r="BA19" s="485">
        <f>BA8</f>
        <v>8.1901618728411299E-2</v>
      </c>
      <c r="BC19"/>
      <c r="BD19"/>
      <c r="BE19"/>
      <c r="BG19"/>
      <c r="BH19" s="256" t="s">
        <v>218</v>
      </c>
      <c r="BK19" s="263"/>
      <c r="BL19" s="262"/>
      <c r="BM19" s="262"/>
      <c r="BN19" s="262" t="s">
        <v>217</v>
      </c>
      <c r="BO19" s="262"/>
      <c r="BP19" s="393">
        <f ca="1">BP14-BP15+BP16</f>
        <v>-236.86251726227709</v>
      </c>
      <c r="EN19" s="256" t="str">
        <f t="shared" si="7"/>
        <v>Biz2</v>
      </c>
      <c r="EO19" s="398">
        <f t="shared" si="8"/>
        <v>0.19884789192899044</v>
      </c>
      <c r="EP19" s="398">
        <f t="shared" si="9"/>
        <v>-8.9664744340553576E-2</v>
      </c>
      <c r="EQ19" s="398">
        <f t="shared" ca="1" si="10"/>
        <v>-0.66534017553266911</v>
      </c>
      <c r="ER19" s="398">
        <f t="shared" ca="1" si="11"/>
        <v>0.30001603818832451</v>
      </c>
      <c r="ES19" s="398">
        <f t="shared" ca="1" si="12"/>
        <v>-0.45239270308278207</v>
      </c>
    </row>
    <row r="20" spans="2:166" s="256" customFormat="1" ht="15.6" customHeight="1" thickTop="1" thickBot="1" x14ac:dyDescent="0.3">
      <c r="D20" s="256" t="s">
        <v>464</v>
      </c>
      <c r="E20" s="256" t="s">
        <v>573</v>
      </c>
      <c r="F20" s="256">
        <v>7</v>
      </c>
      <c r="AR20" s="256" t="s">
        <v>583</v>
      </c>
      <c r="AV20" s="36"/>
      <c r="AY20" s="481">
        <f>SUM(AY18:AY19)</f>
        <v>728.49299999999994</v>
      </c>
      <c r="AZ20" s="479">
        <f>AY20/AY$20</f>
        <v>1</v>
      </c>
      <c r="BA20" s="486">
        <f>BA18*AZ18+BA19*AZ19</f>
        <v>0.13115630015403151</v>
      </c>
      <c r="BB20"/>
      <c r="BE20"/>
      <c r="BG20"/>
      <c r="BK20" s="388" t="s">
        <v>600</v>
      </c>
      <c r="CF20" s="359">
        <f ca="1">CE15*1000-'P&amp;L'!G131</f>
        <v>0</v>
      </c>
      <c r="EN20" s="256" t="str">
        <f>EN11</f>
        <v>Corporate Overhead</v>
      </c>
      <c r="EO20" s="394" t="e">
        <f>EP11/ER11</f>
        <v>#DIV/0!</v>
      </c>
      <c r="EP20" s="394" t="e">
        <f>EQ11/ER11</f>
        <v>#DIV/0!</v>
      </c>
      <c r="EQ20" s="394">
        <f ca="1">EP11/ES11</f>
        <v>8.1893617193227464E-3</v>
      </c>
      <c r="ER20" s="394">
        <f ca="1">EQ11/ES11</f>
        <v>0.14976359673134743</v>
      </c>
      <c r="ES20" s="394">
        <f ca="1">EO11/ES11</f>
        <v>0.14996357374927705</v>
      </c>
      <c r="EZ20" s="511" t="s">
        <v>332</v>
      </c>
      <c r="FA20" s="512">
        <f>SUM(FA12:FA18)</f>
        <v>560128.72479555791</v>
      </c>
      <c r="FB20" s="512">
        <f>SUM(FB12:FB18)</f>
        <v>499647.18479555805</v>
      </c>
      <c r="FC20" s="512">
        <f t="shared" ref="FC20:FJ20" si="13">SUM(FC12:FC18)</f>
        <v>448236.35379555804</v>
      </c>
      <c r="FD20" s="512">
        <f t="shared" si="13"/>
        <v>435705.70364305854</v>
      </c>
      <c r="FE20" s="512">
        <f t="shared" si="13"/>
        <v>330663.55220620404</v>
      </c>
      <c r="FF20" s="512">
        <f t="shared" si="13"/>
        <v>266689.48019390716</v>
      </c>
      <c r="FG20" s="512">
        <f t="shared" si="13"/>
        <v>271666.51863069279</v>
      </c>
      <c r="FH20" s="512">
        <f t="shared" si="13"/>
        <v>277929.99705831998</v>
      </c>
      <c r="FI20" s="512">
        <f t="shared" si="13"/>
        <v>281404.41656616289</v>
      </c>
      <c r="FJ20" s="512">
        <f t="shared" si="13"/>
        <v>268931.44829060504</v>
      </c>
    </row>
    <row r="21" spans="2:166" s="256" customFormat="1" ht="15.6" customHeight="1" thickTop="1" thickBot="1" x14ac:dyDescent="0.3">
      <c r="Z21" s="256" t="s">
        <v>274</v>
      </c>
      <c r="AV21" s="507" t="s">
        <v>511</v>
      </c>
      <c r="AW21" s="504"/>
      <c r="AX21" s="504"/>
      <c r="AY21" s="504"/>
      <c r="AZ21" s="504"/>
      <c r="BA21" s="482">
        <f>BA20</f>
        <v>0.13115630015403151</v>
      </c>
      <c r="BG21" s="36"/>
      <c r="BH21" s="399"/>
      <c r="BI21" s="401"/>
      <c r="BJ21" s="259"/>
      <c r="BK21" s="399"/>
      <c r="BL21" s="399"/>
      <c r="BM21" s="399"/>
      <c r="BN21" s="399"/>
      <c r="BO21" s="399"/>
      <c r="BP21" s="399"/>
      <c r="DZ21" s="361"/>
      <c r="EA21" s="361"/>
      <c r="EB21" s="361"/>
      <c r="EC21" s="361"/>
      <c r="ED21" s="361"/>
      <c r="EE21" s="361"/>
      <c r="EF21" s="361"/>
      <c r="EG21" s="361"/>
      <c r="EH21" s="361"/>
      <c r="EI21" s="361"/>
      <c r="EJ21" s="361"/>
      <c r="EO21" s="398"/>
      <c r="EP21" s="398"/>
      <c r="EQ21" s="398"/>
      <c r="ER21" s="398"/>
      <c r="ES21" s="398"/>
    </row>
    <row r="22" spans="2:166" s="256" customFormat="1" ht="15.6" customHeight="1" x14ac:dyDescent="0.25">
      <c r="C22" s="268" t="s">
        <v>467</v>
      </c>
      <c r="I22" s="256" t="s">
        <v>273</v>
      </c>
      <c r="K22" s="256" t="s">
        <v>268</v>
      </c>
      <c r="M22" s="597" t="s">
        <v>272</v>
      </c>
      <c r="N22" s="256" t="s">
        <v>271</v>
      </c>
      <c r="P22" s="256" t="s">
        <v>270</v>
      </c>
      <c r="R22" s="256" t="s">
        <v>269</v>
      </c>
      <c r="T22" s="256" t="s">
        <v>268</v>
      </c>
      <c r="V22" s="256" t="s">
        <v>267</v>
      </c>
      <c r="X22" s="256" t="s">
        <v>266</v>
      </c>
      <c r="Z22" s="279" t="s">
        <v>264</v>
      </c>
      <c r="BG22"/>
      <c r="BH22"/>
      <c r="BI22"/>
      <c r="BJ22"/>
      <c r="BK22"/>
      <c r="CJ22" s="457" t="s">
        <v>494</v>
      </c>
      <c r="DY22" s="256" t="str">
        <f>Ratios!B135</f>
        <v>Biz1</v>
      </c>
      <c r="DZ22" s="361">
        <f>(Ratios!D135)/1000</f>
        <v>-49.294175308488263</v>
      </c>
      <c r="EA22" s="361">
        <f>(Ratios!E135)/1000</f>
        <v>-56.787372862830857</v>
      </c>
      <c r="EB22" s="361">
        <f>(Ratios!F135)/1000</f>
        <v>-38.753948298460379</v>
      </c>
      <c r="EC22" s="361">
        <f>(Ratios!G135)/1000</f>
        <v>-19.366449179192095</v>
      </c>
      <c r="ED22" s="361">
        <f>(Ratios!H135)/1000</f>
        <v>-5.7317840261730959</v>
      </c>
      <c r="EE22" s="361">
        <f>(Ratios!M135)/1000</f>
        <v>-14.039678614687928</v>
      </c>
      <c r="EF22" s="361">
        <f>(Ratios!N135)/1000</f>
        <v>-12.653271338134495</v>
      </c>
      <c r="EG22" s="361">
        <f>(Ratios!O135)/1000</f>
        <v>-16.425776606867824</v>
      </c>
      <c r="EH22" s="361">
        <f>(Ratios!P135)/1000</f>
        <v>-23.055043589645582</v>
      </c>
      <c r="EI22" s="361">
        <f>(Ratios!Q135)/1000</f>
        <v>-38.104072810079344</v>
      </c>
      <c r="EJ22" s="361"/>
      <c r="EO22" s="398"/>
      <c r="EP22" s="398"/>
      <c r="EQ22" s="398"/>
      <c r="ER22" s="398"/>
      <c r="ES22" s="398"/>
    </row>
    <row r="23" spans="2:166" s="256" customFormat="1" ht="15.6" customHeight="1" x14ac:dyDescent="0.25">
      <c r="D23" s="256" t="s">
        <v>390</v>
      </c>
      <c r="E23" s="256" t="s">
        <v>584</v>
      </c>
      <c r="F23" s="256">
        <v>8</v>
      </c>
      <c r="K23" s="256" t="s">
        <v>260</v>
      </c>
      <c r="M23" s="597"/>
      <c r="N23" s="256" t="s">
        <v>263</v>
      </c>
      <c r="P23" s="256" t="s">
        <v>262</v>
      </c>
      <c r="R23" s="256" t="s">
        <v>261</v>
      </c>
      <c r="T23" s="256" t="s">
        <v>260</v>
      </c>
      <c r="V23" s="256" t="s">
        <v>259</v>
      </c>
      <c r="X23" s="256" t="s">
        <v>258</v>
      </c>
      <c r="Z23" s="268"/>
      <c r="BG23"/>
      <c r="BH23"/>
      <c r="BI23"/>
      <c r="BJ23"/>
      <c r="BK23"/>
      <c r="BL23"/>
      <c r="BM23"/>
      <c r="BN23"/>
      <c r="BO23"/>
      <c r="BP23"/>
      <c r="DY23" s="256" t="str">
        <f>Ratios!B136</f>
        <v>Biz2</v>
      </c>
      <c r="DZ23" s="361">
        <f>(Ratios!D136)/1000</f>
        <v>-0.11828757376184799</v>
      </c>
      <c r="EA23" s="361">
        <f>(Ratios!E136)/1000</f>
        <v>5.6120539016133479</v>
      </c>
      <c r="EB23" s="361">
        <f>(Ratios!F136)/1000</f>
        <v>1.6804187992207131</v>
      </c>
      <c r="EC23" s="361">
        <f>(Ratios!G136)/1000</f>
        <v>-0.85321679799973527</v>
      </c>
      <c r="ED23" s="361">
        <f>(Ratios!H136)/1000</f>
        <v>-2.0462299506623398</v>
      </c>
      <c r="EE23" s="361">
        <f>(Ratios!M136)/1000</f>
        <v>-0.92442894306623935</v>
      </c>
      <c r="EF23" s="361">
        <f>(Ratios!N136)/1000</f>
        <v>-1.2304305338253281</v>
      </c>
      <c r="EG23" s="361">
        <f>(Ratios!O136)/1000</f>
        <v>-1.7906885215308825</v>
      </c>
      <c r="EH23" s="361">
        <f>(Ratios!P136)/1000</f>
        <v>-2.0517138144215856</v>
      </c>
      <c r="EI23" s="361">
        <f>(Ratios!Q136)/1000</f>
        <v>-2.2913858963122897</v>
      </c>
      <c r="EJ23" s="361"/>
    </row>
    <row r="24" spans="2:166" s="256" customFormat="1" ht="15.6" customHeight="1" x14ac:dyDescent="0.25">
      <c r="D24" s="256" t="s">
        <v>461</v>
      </c>
      <c r="E24" s="256" t="s">
        <v>482</v>
      </c>
      <c r="F24" s="256">
        <v>9</v>
      </c>
      <c r="V24" s="256" t="s">
        <v>253</v>
      </c>
      <c r="X24" s="256" t="s">
        <v>252</v>
      </c>
      <c r="AS24" s="472" t="s">
        <v>504</v>
      </c>
      <c r="AT24" s="466" t="s">
        <v>510</v>
      </c>
      <c r="AU24" s="464"/>
      <c r="AV24" s="465"/>
      <c r="AW24" s="465"/>
      <c r="AX24" s="465"/>
      <c r="AY24" s="465"/>
      <c r="AZ24" s="465"/>
      <c r="BA24" s="465"/>
      <c r="BB24" s="465"/>
      <c r="BC24"/>
      <c r="BD24"/>
      <c r="BG24"/>
      <c r="CE24" s="257"/>
      <c r="CM24" s="272" t="s">
        <v>422</v>
      </c>
      <c r="CN24" s="272" t="s">
        <v>424</v>
      </c>
      <c r="DZ24" s="361"/>
      <c r="EA24" s="361"/>
      <c r="EB24" s="361"/>
      <c r="EC24" s="361"/>
      <c r="ED24" s="361"/>
      <c r="EE24" s="361"/>
      <c r="EF24" s="361"/>
      <c r="EG24" s="361"/>
      <c r="EH24" s="361"/>
      <c r="EI24" s="361"/>
      <c r="EJ24" s="361"/>
    </row>
    <row r="25" spans="2:166" s="256" customFormat="1" ht="15.6" customHeight="1" thickBot="1" x14ac:dyDescent="0.3">
      <c r="E25" s="256" t="s">
        <v>480</v>
      </c>
      <c r="F25" s="256">
        <v>10</v>
      </c>
      <c r="AS25"/>
      <c r="AT25" s="285" t="s">
        <v>378</v>
      </c>
      <c r="AU25" s="259"/>
      <c r="AW25" s="286" t="s">
        <v>275</v>
      </c>
      <c r="AX25" s="285" t="s">
        <v>500</v>
      </c>
      <c r="AY25" s="259"/>
      <c r="AZ25" s="259"/>
      <c r="BA25" s="259"/>
      <c r="BB25" s="259"/>
      <c r="BC25"/>
      <c r="BD25"/>
      <c r="BG25"/>
      <c r="CE25" s="257"/>
      <c r="CM25" s="272" t="s">
        <v>423</v>
      </c>
      <c r="CN25" s="272" t="s">
        <v>425</v>
      </c>
      <c r="CO25" s="517" t="s">
        <v>515</v>
      </c>
      <c r="EJ25" s="361"/>
    </row>
    <row r="26" spans="2:166" s="256" customFormat="1" ht="15.6" customHeight="1" thickTop="1" x14ac:dyDescent="0.25">
      <c r="E26" s="256" t="s">
        <v>481</v>
      </c>
      <c r="F26" s="256">
        <v>11</v>
      </c>
      <c r="AS26"/>
      <c r="AT26" s="264" t="s">
        <v>265</v>
      </c>
      <c r="AU26" s="259"/>
      <c r="AW26" s="269">
        <v>3.0700000000000002E-2</v>
      </c>
      <c r="AX26" s="264" t="s">
        <v>502</v>
      </c>
      <c r="AY26" s="259"/>
      <c r="AZ26" s="259"/>
      <c r="BA26" s="259"/>
      <c r="BB26" s="259"/>
      <c r="BC26"/>
      <c r="BD26" s="276"/>
      <c r="CJ26" s="256" t="str">
        <f>CK6</f>
        <v>Market Comparables model</v>
      </c>
      <c r="CM26" s="458">
        <f>CN14-CN6</f>
        <v>374.11112744126086</v>
      </c>
      <c r="CN26" s="459">
        <f>CM26/CN13</f>
        <v>14.028181273256038</v>
      </c>
      <c r="CO26" s="518">
        <f>CN14/CN6-1</f>
        <v>2.9717569141522202</v>
      </c>
      <c r="EJ26" s="361"/>
      <c r="FB26" s="566" t="s">
        <v>526</v>
      </c>
      <c r="FC26" s="256" t="s">
        <v>528</v>
      </c>
      <c r="FG26" s="566" t="s">
        <v>527</v>
      </c>
      <c r="FH26" s="256" t="s">
        <v>533</v>
      </c>
    </row>
    <row r="27" spans="2:166" s="256" customFormat="1" ht="15.6" customHeight="1" x14ac:dyDescent="0.25">
      <c r="E27" s="256" t="s">
        <v>496</v>
      </c>
      <c r="F27" s="256">
        <v>12</v>
      </c>
      <c r="I27" s="256" t="s">
        <v>246</v>
      </c>
      <c r="K27" s="256" t="s">
        <v>245</v>
      </c>
      <c r="N27" s="256" t="s">
        <v>244</v>
      </c>
      <c r="P27" s="256" t="s">
        <v>243</v>
      </c>
      <c r="R27" s="256" t="s">
        <v>242</v>
      </c>
      <c r="T27" s="256" t="s">
        <v>241</v>
      </c>
      <c r="V27" s="256" t="s">
        <v>240</v>
      </c>
      <c r="X27" s="256" t="s">
        <v>239</v>
      </c>
      <c r="AN27" s="256" t="s">
        <v>225</v>
      </c>
      <c r="AP27" s="256" t="s">
        <v>224</v>
      </c>
      <c r="AR27" s="256" t="s">
        <v>223</v>
      </c>
      <c r="AS27" s="276"/>
      <c r="AT27" s="264" t="s">
        <v>257</v>
      </c>
      <c r="AU27" s="259"/>
      <c r="AW27" s="269">
        <v>4.0800000000000003E-2</v>
      </c>
      <c r="AX27" s="264" t="s">
        <v>498</v>
      </c>
      <c r="AY27" s="259"/>
      <c r="AZ27" s="259"/>
      <c r="BA27" s="259"/>
      <c r="BB27" s="259"/>
      <c r="BC27"/>
      <c r="BD27" s="259"/>
      <c r="CE27" s="257"/>
      <c r="CJ27" s="256" t="str">
        <f>CK7</f>
        <v>Discounted Cash Flow model</v>
      </c>
      <c r="CM27" s="460">
        <f ca="1">CN14-CN7</f>
        <v>736.86251726227715</v>
      </c>
      <c r="CN27" s="461">
        <f ca="1">CM27/CN13</f>
        <v>27.630402325431945</v>
      </c>
      <c r="CO27" s="518">
        <f ca="1">CN14/CN7-1</f>
        <v>-3.1109291827982717</v>
      </c>
      <c r="FB27" s="567"/>
      <c r="FC27" s="256" t="s">
        <v>534</v>
      </c>
      <c r="FG27" s="567"/>
      <c r="FH27" s="256" t="s">
        <v>535</v>
      </c>
    </row>
    <row r="28" spans="2:166" s="256" customFormat="1" ht="15.6" customHeight="1" thickBot="1" x14ac:dyDescent="0.3">
      <c r="E28" s="256" t="s">
        <v>514</v>
      </c>
      <c r="F28" s="256">
        <v>13</v>
      </c>
      <c r="K28" s="256" t="s">
        <v>235</v>
      </c>
      <c r="P28" s="256" t="s">
        <v>234</v>
      </c>
      <c r="R28" s="265" t="s">
        <v>233</v>
      </c>
      <c r="V28" s="265" t="s">
        <v>232</v>
      </c>
      <c r="X28" s="265" t="s">
        <v>231</v>
      </c>
      <c r="AS28" s="259"/>
      <c r="AT28" s="264" t="s">
        <v>251</v>
      </c>
      <c r="AU28" s="259"/>
      <c r="AW28" s="269">
        <v>4.1000000000000002E-2</v>
      </c>
      <c r="AX28" s="264" t="s">
        <v>499</v>
      </c>
      <c r="AY28" s="259"/>
      <c r="AZ28" s="259"/>
      <c r="BA28" s="259"/>
      <c r="BB28" s="259"/>
      <c r="BD28" s="259"/>
      <c r="BS28" s="270"/>
      <c r="CE28" s="257"/>
      <c r="CJ28" s="256" t="str">
        <f>CK8</f>
        <v>Book (Shareholders Equity)</v>
      </c>
      <c r="CM28" s="462">
        <f>CN14-CN8</f>
        <v>286.2511293087075</v>
      </c>
      <c r="CN28" s="463">
        <f>CM28/CN13</f>
        <v>10.733662906744973</v>
      </c>
      <c r="CO28" s="518">
        <f>CN14/CN8-1</f>
        <v>1.3391936452479625</v>
      </c>
      <c r="FB28" s="567"/>
      <c r="FC28" s="256" t="s">
        <v>529</v>
      </c>
      <c r="FG28" s="567"/>
      <c r="FH28" s="256" t="s">
        <v>532</v>
      </c>
    </row>
    <row r="29" spans="2:166" s="256" customFormat="1" ht="15.6" customHeight="1" thickTop="1" x14ac:dyDescent="0.25">
      <c r="B29" s="254"/>
      <c r="K29" s="256" t="s">
        <v>228</v>
      </c>
      <c r="P29" s="256" t="s">
        <v>227</v>
      </c>
      <c r="V29" s="256" t="s">
        <v>495</v>
      </c>
      <c r="X29" s="256" t="s">
        <v>226</v>
      </c>
      <c r="AS29" s="259"/>
      <c r="AT29" s="467" t="s">
        <v>238</v>
      </c>
      <c r="AU29" s="468"/>
      <c r="AV29" s="468"/>
      <c r="AW29" s="469">
        <v>3.9899999999999998E-2</v>
      </c>
      <c r="AX29" s="470" t="s">
        <v>501</v>
      </c>
      <c r="AY29" s="468"/>
      <c r="AZ29" s="468"/>
      <c r="BA29" s="468"/>
      <c r="BB29" s="471"/>
      <c r="BC29" s="259" t="s">
        <v>509</v>
      </c>
      <c r="BD29" s="259"/>
      <c r="CE29" s="257"/>
      <c r="CV29" s="599" t="s">
        <v>446</v>
      </c>
      <c r="CW29" s="599"/>
      <c r="CX29" s="599"/>
      <c r="CY29" s="598">
        <f>BP13</f>
        <v>347.99120589207251</v>
      </c>
      <c r="CZ29" s="598"/>
      <c r="DA29" s="396"/>
      <c r="DB29" s="396"/>
      <c r="DC29" s="396"/>
      <c r="DD29" s="396"/>
      <c r="DE29" s="598">
        <f ca="1">CE15</f>
        <v>-14.760183928943775</v>
      </c>
      <c r="DF29" s="598"/>
      <c r="DG29" s="396"/>
      <c r="DH29" s="257"/>
      <c r="EM29" s="254" t="s">
        <v>458</v>
      </c>
      <c r="FA29" s="399"/>
      <c r="FB29" s="568"/>
      <c r="FC29" s="256" t="s">
        <v>530</v>
      </c>
      <c r="FD29" s="399"/>
      <c r="FE29" s="399"/>
      <c r="FF29" s="399"/>
      <c r="FG29" s="568"/>
      <c r="FH29" s="399"/>
      <c r="FI29" s="399"/>
    </row>
    <row r="30" spans="2:166" s="256" customFormat="1" ht="15.6" customHeight="1" x14ac:dyDescent="0.25">
      <c r="B30" s="254"/>
      <c r="E30" s="254"/>
      <c r="V30" s="265" t="s">
        <v>219</v>
      </c>
      <c r="AS30" s="259"/>
      <c r="AT30" s="264" t="s">
        <v>503</v>
      </c>
      <c r="AU30" s="269"/>
      <c r="AV30" s="269"/>
      <c r="AW30" s="269">
        <v>3.5000000000000003E-2</v>
      </c>
      <c r="AX30" s="264" t="s">
        <v>230</v>
      </c>
      <c r="AY30" s="259"/>
      <c r="AZ30" s="259"/>
      <c r="BA30" s="259"/>
      <c r="BB30" s="259"/>
      <c r="BC30" s="259"/>
      <c r="BD30" s="259"/>
      <c r="CE30" s="257"/>
      <c r="CV30" s="599"/>
      <c r="CW30" s="599"/>
      <c r="CX30" s="599"/>
      <c r="CY30" s="598"/>
      <c r="CZ30" s="598"/>
      <c r="DE30" s="598"/>
      <c r="DF30" s="598"/>
      <c r="DJ30" s="254" t="s">
        <v>444</v>
      </c>
      <c r="DX30" s="254" t="s">
        <v>445</v>
      </c>
      <c r="EM30" s="397" t="s">
        <v>459</v>
      </c>
      <c r="FB30" s="567"/>
      <c r="FC30" s="256" t="s">
        <v>531</v>
      </c>
      <c r="FG30" s="567"/>
    </row>
    <row r="31" spans="2:166" s="399" customFormat="1" ht="15.6" customHeight="1" x14ac:dyDescent="0.25">
      <c r="H31" s="400">
        <v>1</v>
      </c>
      <c r="S31" s="400">
        <v>2</v>
      </c>
      <c r="Y31" s="400">
        <v>3</v>
      </c>
      <c r="AM31" s="400">
        <v>4</v>
      </c>
      <c r="AS31" s="400">
        <v>5</v>
      </c>
      <c r="BB31" s="259"/>
      <c r="BC31" s="259"/>
      <c r="BD31" s="259"/>
      <c r="BG31" s="400">
        <v>6</v>
      </c>
      <c r="BR31" s="400">
        <v>7</v>
      </c>
      <c r="BX31" s="402"/>
      <c r="BY31" s="402"/>
      <c r="BZ31" s="402"/>
      <c r="CE31" s="403"/>
      <c r="CG31" s="400">
        <v>8</v>
      </c>
      <c r="CU31" s="400">
        <v>9</v>
      </c>
      <c r="DI31" s="400">
        <v>10</v>
      </c>
      <c r="DW31" s="400">
        <v>11</v>
      </c>
      <c r="EL31" s="400">
        <v>12</v>
      </c>
      <c r="EY31" s="400">
        <v>13</v>
      </c>
      <c r="FA31" s="256"/>
      <c r="FB31" s="256"/>
      <c r="FC31" s="256"/>
      <c r="FD31" s="256"/>
      <c r="FE31" s="256"/>
      <c r="FF31" s="256"/>
      <c r="FG31" s="567"/>
      <c r="FH31" s="256"/>
      <c r="FI31" s="256"/>
    </row>
    <row r="32" spans="2:166" s="256" customFormat="1" ht="15.6" customHeight="1" x14ac:dyDescent="0.25">
      <c r="B32" s="254"/>
      <c r="E32" s="254"/>
      <c r="AS32" s="259"/>
      <c r="BC32" s="259"/>
      <c r="BD32" s="259"/>
      <c r="BE32" s="259"/>
      <c r="BG32"/>
      <c r="BX32" s="260"/>
      <c r="BY32" s="260"/>
      <c r="BZ32" s="260"/>
      <c r="CE32" s="257"/>
    </row>
    <row r="33" spans="2:83" s="256" customFormat="1" ht="15.75" x14ac:dyDescent="0.25">
      <c r="B33" s="254"/>
      <c r="E33" s="254"/>
      <c r="AS33" s="259"/>
      <c r="BC33" s="259"/>
      <c r="BD33" s="259"/>
      <c r="BE33" s="259"/>
      <c r="BG33"/>
      <c r="BW33" s="260"/>
      <c r="BX33" s="260"/>
      <c r="BY33" s="260"/>
      <c r="BZ33" s="260"/>
      <c r="CE33" s="257"/>
    </row>
    <row r="34" spans="2:83" s="256" customFormat="1" ht="15.75" x14ac:dyDescent="0.25">
      <c r="B34" s="254"/>
      <c r="E34" s="254"/>
      <c r="AS34" s="259"/>
      <c r="BC34" s="259"/>
      <c r="BD34" s="259"/>
      <c r="BE34" s="259"/>
      <c r="BG34"/>
      <c r="BH34"/>
      <c r="BI34"/>
      <c r="BJ34"/>
      <c r="BK34"/>
      <c r="BL34"/>
      <c r="BM34"/>
      <c r="BN34"/>
      <c r="BO34"/>
      <c r="BP34" s="10"/>
      <c r="BW34" s="260"/>
      <c r="BX34" s="260"/>
      <c r="BY34" s="260"/>
      <c r="BZ34" s="260"/>
      <c r="CE34" s="257"/>
    </row>
    <row r="35" spans="2:83" s="256" customFormat="1" ht="15.75" x14ac:dyDescent="0.25">
      <c r="B35" s="254"/>
      <c r="E35" s="254"/>
      <c r="AS35" s="259"/>
      <c r="AV35" s="259"/>
      <c r="AW35" s="259"/>
      <c r="AX35" s="259"/>
      <c r="AY35" s="259"/>
      <c r="AZ35" s="259"/>
      <c r="BA35" s="259"/>
      <c r="BB35" s="259"/>
      <c r="BC35" s="259"/>
      <c r="BD35" s="259"/>
      <c r="BE35" s="259"/>
      <c r="BG35"/>
      <c r="BH35"/>
      <c r="BI35" s="10"/>
      <c r="BJ35"/>
      <c r="BK35"/>
      <c r="BL35"/>
      <c r="BM35"/>
      <c r="BN35"/>
      <c r="BO35"/>
      <c r="BP35"/>
      <c r="BW35" s="260"/>
      <c r="BX35" s="260"/>
      <c r="BY35" s="260"/>
      <c r="BZ35" s="260"/>
      <c r="CE35" s="257"/>
    </row>
    <row r="36" spans="2:83" s="256" customFormat="1" ht="15.75" x14ac:dyDescent="0.25">
      <c r="B36" s="254"/>
      <c r="E36" s="254"/>
      <c r="AS36" s="259"/>
      <c r="AV36" s="259"/>
      <c r="AW36" s="259"/>
      <c r="AX36" s="259"/>
      <c r="AY36" s="259"/>
      <c r="AZ36" s="259"/>
      <c r="BA36" s="259"/>
      <c r="BB36" s="259"/>
      <c r="BC36" s="259"/>
      <c r="BD36" s="259"/>
      <c r="BE36" s="259"/>
      <c r="BG36"/>
      <c r="BH36"/>
      <c r="BI36" s="10"/>
      <c r="BJ36"/>
      <c r="BK36"/>
      <c r="BL36"/>
      <c r="BM36"/>
      <c r="BN36"/>
      <c r="BO36" s="10"/>
      <c r="BP36" s="10"/>
      <c r="BW36" s="260"/>
      <c r="BX36" s="260"/>
      <c r="BY36" s="260"/>
      <c r="BZ36" s="260"/>
      <c r="CE36" s="257"/>
    </row>
    <row r="37" spans="2:83" s="256" customFormat="1" ht="15.75" x14ac:dyDescent="0.25">
      <c r="B37" s="254"/>
      <c r="E37" s="254"/>
      <c r="AS37" s="259"/>
      <c r="AT37" s="259"/>
      <c r="AU37" s="259"/>
      <c r="AV37" s="259"/>
      <c r="AW37" s="259"/>
      <c r="AX37" s="259"/>
      <c r="AY37" s="259"/>
      <c r="AZ37" s="259"/>
      <c r="BA37" s="259"/>
      <c r="BC37" s="259"/>
      <c r="BD37" s="259"/>
      <c r="BE37" s="259"/>
      <c r="BG37"/>
      <c r="CE37" s="257"/>
    </row>
    <row r="38" spans="2:83" s="256" customFormat="1" ht="15.75" x14ac:dyDescent="0.25">
      <c r="B38" s="254"/>
      <c r="E38" s="254"/>
      <c r="Z38" s="258"/>
      <c r="AS38"/>
      <c r="AU38"/>
      <c r="AV38"/>
      <c r="AW38"/>
      <c r="AX38"/>
      <c r="AY38"/>
      <c r="AZ38"/>
      <c r="BA38"/>
      <c r="BB38"/>
      <c r="BC38"/>
      <c r="BD38"/>
      <c r="BE38"/>
      <c r="BG38"/>
      <c r="BH38"/>
      <c r="BI38" s="10"/>
      <c r="BJ38"/>
      <c r="BK38"/>
      <c r="BL38"/>
      <c r="BM38"/>
      <c r="BN38"/>
      <c r="BO38" s="10"/>
      <c r="BP38"/>
      <c r="CE38" s="257"/>
    </row>
    <row r="39" spans="2:83" s="256" customFormat="1" ht="15.75" x14ac:dyDescent="0.25">
      <c r="B39" s="254"/>
      <c r="E39" s="254"/>
      <c r="AS39"/>
      <c r="AT39"/>
      <c r="AU39"/>
      <c r="AV39"/>
      <c r="AW39"/>
      <c r="AX39"/>
      <c r="AY39"/>
      <c r="AZ39"/>
      <c r="BA39"/>
      <c r="BB39"/>
      <c r="BC39"/>
      <c r="BD39"/>
      <c r="BE39"/>
      <c r="BG39"/>
      <c r="BH39"/>
      <c r="BI39" s="10"/>
      <c r="BJ39"/>
      <c r="BK39"/>
      <c r="BL39"/>
      <c r="BM39"/>
      <c r="BN39"/>
      <c r="BO39"/>
      <c r="BP39"/>
      <c r="CE39" s="257"/>
    </row>
    <row r="40" spans="2:83" s="256" customFormat="1" ht="15.75" x14ac:dyDescent="0.25">
      <c r="B40" s="254"/>
      <c r="E40" s="254"/>
      <c r="AS40"/>
      <c r="AT40"/>
      <c r="AU40"/>
      <c r="AV40"/>
      <c r="AW40"/>
      <c r="AX40"/>
      <c r="AY40"/>
      <c r="AZ40"/>
      <c r="BA40"/>
      <c r="BB40"/>
      <c r="BC40"/>
      <c r="BD40"/>
      <c r="BE40"/>
      <c r="BG40"/>
      <c r="BH40"/>
      <c r="BI40" s="10"/>
      <c r="BJ40"/>
      <c r="BK40"/>
      <c r="BL40"/>
      <c r="BM40"/>
      <c r="BN40"/>
      <c r="BO40"/>
      <c r="BP40"/>
      <c r="CE40" s="257"/>
    </row>
    <row r="41" spans="2:83" s="256" customFormat="1" ht="15.75" x14ac:dyDescent="0.25">
      <c r="B41" s="254"/>
      <c r="E41" s="254"/>
      <c r="AS41"/>
      <c r="AT41"/>
      <c r="AU41"/>
      <c r="AV41"/>
      <c r="AW41"/>
      <c r="AX41"/>
      <c r="AY41"/>
      <c r="AZ41"/>
      <c r="BA41"/>
      <c r="BB41"/>
      <c r="BC41"/>
      <c r="BD41"/>
      <c r="BE41"/>
      <c r="BG41"/>
      <c r="BH41"/>
      <c r="BI41" s="10"/>
      <c r="BJ41"/>
      <c r="BK41"/>
      <c r="BL41"/>
      <c r="BM41"/>
      <c r="BN41"/>
      <c r="BO41"/>
      <c r="BP41"/>
      <c r="CE41" s="257"/>
    </row>
    <row r="42" spans="2:83" s="256" customFormat="1" ht="15.75" x14ac:dyDescent="0.25">
      <c r="B42" s="254"/>
      <c r="E42" s="254"/>
      <c r="AS42"/>
      <c r="AT42"/>
      <c r="AU42"/>
      <c r="AV42"/>
      <c r="AW42"/>
      <c r="AX42"/>
      <c r="AY42"/>
      <c r="AZ42"/>
      <c r="BA42"/>
      <c r="BB42"/>
      <c r="BC42"/>
      <c r="BD42"/>
      <c r="BE42"/>
      <c r="BG42"/>
      <c r="BH42"/>
      <c r="BI42" s="10"/>
      <c r="BJ42"/>
      <c r="BK42"/>
      <c r="BL42"/>
      <c r="BM42"/>
      <c r="BN42"/>
      <c r="BO42"/>
      <c r="BP42"/>
      <c r="CE42" s="257"/>
    </row>
    <row r="43" spans="2:83" s="256" customFormat="1" ht="15.75" x14ac:dyDescent="0.25">
      <c r="B43" s="254"/>
      <c r="E43" s="254"/>
      <c r="AS43"/>
      <c r="AT43"/>
      <c r="AU43"/>
      <c r="AV43"/>
      <c r="AW43"/>
      <c r="AX43"/>
      <c r="AY43"/>
      <c r="AZ43"/>
      <c r="BA43"/>
      <c r="BB43"/>
      <c r="BC43"/>
      <c r="BD43"/>
      <c r="BE43"/>
      <c r="BG43"/>
      <c r="BH43"/>
      <c r="BI43" s="10"/>
      <c r="BJ43"/>
      <c r="BK43"/>
      <c r="BL43"/>
      <c r="BM43"/>
      <c r="BN43"/>
      <c r="BO43"/>
      <c r="BP43"/>
      <c r="CE43" s="257"/>
    </row>
    <row r="44" spans="2:83" s="256" customFormat="1" ht="15.75" x14ac:dyDescent="0.25">
      <c r="B44" s="254"/>
      <c r="E44" s="254"/>
      <c r="AS44"/>
      <c r="AT44"/>
      <c r="AU44"/>
      <c r="AV44"/>
      <c r="AW44"/>
      <c r="AX44"/>
      <c r="AY44"/>
      <c r="AZ44"/>
      <c r="BA44"/>
      <c r="BB44"/>
      <c r="BC44"/>
      <c r="BD44"/>
      <c r="BE44"/>
      <c r="BG44"/>
      <c r="BH44"/>
      <c r="BI44" s="10"/>
      <c r="BJ44"/>
      <c r="BK44"/>
      <c r="BL44"/>
      <c r="BM44"/>
      <c r="BN44"/>
      <c r="BO44"/>
      <c r="BP44"/>
      <c r="CE44" s="257"/>
    </row>
    <row r="45" spans="2:83" s="256" customFormat="1" ht="15.75" x14ac:dyDescent="0.25">
      <c r="B45" s="254"/>
      <c r="E45" s="254"/>
      <c r="AS45"/>
      <c r="AT45"/>
      <c r="AU45"/>
      <c r="AV45"/>
      <c r="AW45"/>
      <c r="AX45"/>
      <c r="AY45"/>
      <c r="AZ45"/>
      <c r="BA45"/>
      <c r="BB45"/>
      <c r="BC45"/>
      <c r="BD45"/>
      <c r="BE45"/>
      <c r="BG45"/>
      <c r="BH45"/>
      <c r="BI45" s="10"/>
      <c r="BJ45"/>
      <c r="BK45"/>
      <c r="BL45"/>
      <c r="BM45"/>
      <c r="BN45"/>
      <c r="BO45"/>
      <c r="BP45"/>
      <c r="CE45" s="257"/>
    </row>
    <row r="46" spans="2:83" s="256" customFormat="1" ht="15.75" x14ac:dyDescent="0.25">
      <c r="B46" s="254"/>
      <c r="E46" s="254"/>
      <c r="AS46"/>
      <c r="AT46"/>
      <c r="AU46"/>
      <c r="AV46"/>
      <c r="AW46"/>
      <c r="AX46"/>
      <c r="AY46"/>
      <c r="AZ46"/>
      <c r="BA46"/>
      <c r="BB46"/>
      <c r="BC46"/>
      <c r="BD46"/>
      <c r="BE46"/>
      <c r="BG46"/>
      <c r="BH46"/>
      <c r="BI46" s="10"/>
      <c r="BJ46"/>
      <c r="BK46"/>
      <c r="BL46"/>
      <c r="BM46"/>
      <c r="BN46"/>
      <c r="BO46"/>
      <c r="BP46"/>
      <c r="CE46" s="257"/>
    </row>
    <row r="47" spans="2:83" s="256" customFormat="1" ht="15.75" x14ac:dyDescent="0.25">
      <c r="B47" s="254"/>
      <c r="E47" s="254"/>
      <c r="AS47"/>
      <c r="AT47"/>
      <c r="AU47"/>
      <c r="AV47"/>
      <c r="AW47"/>
      <c r="AX47"/>
      <c r="AY47"/>
      <c r="AZ47"/>
      <c r="BA47"/>
      <c r="BB47"/>
      <c r="BC47"/>
      <c r="BD47"/>
      <c r="BE47"/>
      <c r="BG47"/>
      <c r="BH47"/>
      <c r="BI47" s="10"/>
      <c r="BJ47"/>
      <c r="BK47"/>
      <c r="BL47"/>
      <c r="BM47"/>
      <c r="BN47"/>
      <c r="BO47"/>
      <c r="BP47"/>
      <c r="CE47" s="257"/>
    </row>
    <row r="48" spans="2:83" s="256" customFormat="1" ht="15.75" x14ac:dyDescent="0.25">
      <c r="B48" s="254"/>
      <c r="E48" s="254"/>
      <c r="AS48"/>
      <c r="AT48"/>
      <c r="AU48"/>
      <c r="AV48"/>
      <c r="AW48"/>
      <c r="AX48"/>
      <c r="AY48"/>
      <c r="AZ48"/>
      <c r="BA48"/>
      <c r="BB48"/>
      <c r="BC48"/>
      <c r="BD48"/>
      <c r="BE48"/>
      <c r="BG48"/>
      <c r="BH48"/>
      <c r="BI48" s="10"/>
      <c r="BJ48"/>
      <c r="BK48"/>
      <c r="BL48"/>
      <c r="BM48"/>
      <c r="BN48"/>
      <c r="BO48"/>
      <c r="BP48"/>
      <c r="CE48" s="257"/>
    </row>
    <row r="49" spans="2:83" s="256" customFormat="1" ht="15.75" x14ac:dyDescent="0.25">
      <c r="B49" s="254"/>
      <c r="E49" s="254"/>
      <c r="AS49"/>
      <c r="AT49"/>
      <c r="AU49"/>
      <c r="AV49"/>
      <c r="AW49"/>
      <c r="AX49"/>
      <c r="AY49"/>
      <c r="AZ49"/>
      <c r="BA49"/>
      <c r="BB49"/>
      <c r="BC49"/>
      <c r="BD49"/>
      <c r="BE49"/>
      <c r="BG49"/>
      <c r="BH49"/>
      <c r="BI49" s="10"/>
      <c r="BJ49"/>
      <c r="BK49"/>
      <c r="BL49"/>
      <c r="BM49"/>
      <c r="BN49"/>
      <c r="BO49"/>
      <c r="BP49"/>
      <c r="CE49" s="257"/>
    </row>
    <row r="50" spans="2:83" s="256" customFormat="1" ht="15.75" x14ac:dyDescent="0.25">
      <c r="B50" s="254"/>
      <c r="E50" s="254"/>
      <c r="AS50"/>
      <c r="AT50"/>
      <c r="AU50"/>
      <c r="AV50"/>
      <c r="AW50"/>
      <c r="AX50"/>
      <c r="AY50"/>
      <c r="AZ50"/>
      <c r="BA50"/>
      <c r="BB50"/>
      <c r="BC50"/>
      <c r="BD50"/>
      <c r="BE50"/>
      <c r="BG50"/>
      <c r="BH50"/>
      <c r="BI50" s="10"/>
      <c r="BJ50"/>
      <c r="BK50"/>
      <c r="BL50"/>
      <c r="BM50"/>
      <c r="BN50"/>
      <c r="BO50"/>
      <c r="BP50"/>
      <c r="CE50" s="257"/>
    </row>
    <row r="51" spans="2:83" s="256" customFormat="1" ht="15.75" x14ac:dyDescent="0.25">
      <c r="B51" s="254"/>
      <c r="E51" s="254"/>
      <c r="AS51"/>
      <c r="AT51"/>
      <c r="AU51"/>
      <c r="AV51"/>
      <c r="AW51"/>
      <c r="AX51"/>
      <c r="AY51"/>
      <c r="AZ51"/>
      <c r="BA51"/>
      <c r="BB51"/>
      <c r="BC51"/>
      <c r="BD51"/>
      <c r="BE51"/>
      <c r="BG51"/>
      <c r="BH51"/>
      <c r="BI51" s="10"/>
      <c r="BJ51"/>
      <c r="BK51"/>
      <c r="BL51"/>
      <c r="BM51"/>
      <c r="BN51"/>
      <c r="BO51"/>
      <c r="BP51"/>
      <c r="CE51" s="257"/>
    </row>
    <row r="52" spans="2:83" s="256" customFormat="1" ht="15.75" x14ac:dyDescent="0.25">
      <c r="B52" s="254"/>
      <c r="E52" s="254"/>
      <c r="AS52"/>
      <c r="AT52"/>
      <c r="AU52"/>
      <c r="AV52"/>
      <c r="AW52"/>
      <c r="AX52"/>
      <c r="AY52"/>
      <c r="AZ52"/>
      <c r="BA52"/>
      <c r="BB52"/>
      <c r="BC52"/>
      <c r="BD52"/>
      <c r="BE52"/>
      <c r="BG52"/>
      <c r="BH52"/>
      <c r="BI52" s="10"/>
      <c r="BJ52"/>
      <c r="BK52"/>
      <c r="BL52"/>
      <c r="BM52"/>
      <c r="BN52"/>
      <c r="BO52"/>
      <c r="BP52"/>
      <c r="CE52" s="257"/>
    </row>
    <row r="53" spans="2:83" s="256" customFormat="1" ht="15.75" x14ac:dyDescent="0.25">
      <c r="B53" s="254"/>
      <c r="E53" s="254"/>
      <c r="AS53"/>
      <c r="AT53"/>
      <c r="AU53"/>
      <c r="AV53"/>
      <c r="AW53"/>
      <c r="AX53"/>
      <c r="AY53"/>
      <c r="AZ53"/>
      <c r="BA53"/>
      <c r="BB53"/>
      <c r="BC53"/>
      <c r="BD53"/>
      <c r="BE53"/>
      <c r="BG53"/>
      <c r="BH53"/>
      <c r="BI53" s="10"/>
      <c r="BJ53"/>
      <c r="BK53"/>
      <c r="BL53"/>
      <c r="BM53"/>
      <c r="BN53"/>
      <c r="BO53"/>
      <c r="BP53"/>
      <c r="CE53" s="257"/>
    </row>
    <row r="54" spans="2:83" s="256" customFormat="1" ht="15.75" x14ac:dyDescent="0.25">
      <c r="B54" s="254"/>
      <c r="E54" s="254"/>
      <c r="AS54"/>
      <c r="AT54"/>
      <c r="AU54"/>
      <c r="AV54"/>
      <c r="AW54"/>
      <c r="AX54"/>
      <c r="AY54"/>
      <c r="AZ54"/>
      <c r="BA54"/>
      <c r="BB54"/>
      <c r="BC54"/>
      <c r="BD54"/>
      <c r="BE54"/>
      <c r="BG54"/>
      <c r="BH54"/>
      <c r="BI54" s="10"/>
      <c r="BJ54"/>
      <c r="BK54"/>
      <c r="BL54"/>
      <c r="BM54"/>
      <c r="BN54"/>
      <c r="BO54"/>
      <c r="BP54"/>
      <c r="CE54" s="257"/>
    </row>
    <row r="55" spans="2:83" s="256" customFormat="1" ht="15.75" x14ac:dyDescent="0.25">
      <c r="B55" s="254"/>
      <c r="E55" s="254"/>
      <c r="AS55"/>
      <c r="AT55"/>
      <c r="AU55"/>
      <c r="AV55"/>
      <c r="AW55"/>
      <c r="AX55"/>
      <c r="AY55"/>
      <c r="AZ55"/>
      <c r="BA55"/>
      <c r="BB55"/>
      <c r="BC55"/>
      <c r="BD55"/>
      <c r="BE55"/>
      <c r="BG55"/>
      <c r="BH55"/>
      <c r="BI55" s="10"/>
      <c r="BJ55"/>
      <c r="BK55"/>
      <c r="BL55"/>
      <c r="BM55"/>
      <c r="BN55"/>
      <c r="BO55"/>
      <c r="BP55"/>
      <c r="CE55" s="257"/>
    </row>
    <row r="56" spans="2:83" s="256" customFormat="1" ht="15.75" x14ac:dyDescent="0.25">
      <c r="B56" s="254"/>
      <c r="E56" s="254"/>
      <c r="AS56"/>
      <c r="AT56"/>
      <c r="AU56"/>
      <c r="AV56"/>
      <c r="AW56"/>
      <c r="AX56"/>
      <c r="AY56"/>
      <c r="AZ56"/>
      <c r="BA56"/>
      <c r="BB56"/>
      <c r="BC56"/>
      <c r="BD56"/>
      <c r="BE56"/>
      <c r="BG56"/>
      <c r="BH56"/>
      <c r="BI56" s="10"/>
      <c r="BJ56"/>
      <c r="BK56"/>
      <c r="BL56"/>
      <c r="BM56"/>
      <c r="BN56"/>
      <c r="BO56"/>
      <c r="BP56"/>
      <c r="CE56" s="257"/>
    </row>
    <row r="57" spans="2:83" s="256" customFormat="1" ht="15.75" x14ac:dyDescent="0.25">
      <c r="B57" s="254"/>
      <c r="E57" s="254"/>
      <c r="AS57"/>
      <c r="AT57"/>
      <c r="AU57"/>
      <c r="AV57"/>
      <c r="AW57"/>
      <c r="AX57"/>
      <c r="AY57"/>
      <c r="AZ57"/>
      <c r="BA57"/>
      <c r="BB57"/>
      <c r="BC57"/>
      <c r="BD57"/>
      <c r="BE57"/>
      <c r="BG57"/>
      <c r="BH57"/>
      <c r="BI57" s="10"/>
      <c r="BJ57"/>
      <c r="BK57"/>
      <c r="BL57"/>
      <c r="BM57"/>
      <c r="BN57"/>
      <c r="BO57"/>
      <c r="BP57"/>
      <c r="CE57" s="257"/>
    </row>
    <row r="58" spans="2:83" s="256" customFormat="1" ht="15.75" x14ac:dyDescent="0.25">
      <c r="B58" s="254"/>
      <c r="E58" s="254"/>
      <c r="AS58"/>
      <c r="AT58"/>
      <c r="AU58"/>
      <c r="AV58"/>
      <c r="AW58"/>
      <c r="AX58"/>
      <c r="AY58"/>
      <c r="AZ58"/>
      <c r="BA58"/>
      <c r="BB58"/>
      <c r="BC58"/>
      <c r="BD58"/>
      <c r="BE58"/>
      <c r="BG58"/>
      <c r="BH58"/>
      <c r="BI58" s="10"/>
      <c r="BJ58"/>
      <c r="BK58"/>
      <c r="BL58"/>
      <c r="BM58"/>
      <c r="BN58"/>
      <c r="BO58"/>
      <c r="BP58"/>
      <c r="CE58" s="257"/>
    </row>
    <row r="59" spans="2:83" s="256" customFormat="1" ht="15.75" x14ac:dyDescent="0.25">
      <c r="B59" s="254"/>
      <c r="E59" s="254"/>
      <c r="AS59"/>
      <c r="AT59"/>
      <c r="AU59"/>
      <c r="AV59"/>
      <c r="AW59"/>
      <c r="AX59"/>
      <c r="AY59"/>
      <c r="AZ59"/>
      <c r="BA59"/>
      <c r="BB59"/>
      <c r="BC59"/>
      <c r="BD59"/>
      <c r="BE59"/>
      <c r="BG59"/>
      <c r="BH59"/>
      <c r="BI59" s="10"/>
      <c r="BJ59"/>
      <c r="BK59"/>
      <c r="BL59"/>
      <c r="BM59"/>
      <c r="BN59"/>
      <c r="BO59"/>
      <c r="BP59"/>
      <c r="CE59" s="257"/>
    </row>
    <row r="60" spans="2:83" s="256" customFormat="1" ht="15.75" x14ac:dyDescent="0.25">
      <c r="B60" s="254"/>
      <c r="E60" s="254"/>
      <c r="AS60"/>
      <c r="AT60"/>
      <c r="AU60"/>
      <c r="AV60"/>
      <c r="AW60"/>
      <c r="AX60"/>
      <c r="AY60"/>
      <c r="AZ60"/>
      <c r="BA60"/>
      <c r="BB60"/>
      <c r="BC60"/>
      <c r="BD60"/>
      <c r="BE60"/>
      <c r="BG60"/>
      <c r="BH60"/>
      <c r="BI60" s="10"/>
      <c r="BJ60"/>
      <c r="BK60"/>
      <c r="BL60"/>
      <c r="BM60"/>
      <c r="BN60"/>
      <c r="BO60"/>
      <c r="BP60"/>
      <c r="CE60" s="257"/>
    </row>
    <row r="61" spans="2:83" s="256" customFormat="1" ht="15.75" x14ac:dyDescent="0.25">
      <c r="B61" s="254"/>
      <c r="E61" s="254"/>
      <c r="AS61"/>
      <c r="AT61"/>
      <c r="AU61"/>
      <c r="AV61"/>
      <c r="AW61"/>
      <c r="AX61"/>
      <c r="AY61"/>
      <c r="AZ61"/>
      <c r="BA61"/>
      <c r="BB61"/>
      <c r="BC61"/>
      <c r="BD61"/>
      <c r="BE61"/>
      <c r="BG61"/>
      <c r="BH61"/>
      <c r="BI61" s="10"/>
      <c r="BJ61"/>
      <c r="BK61"/>
      <c r="BL61"/>
      <c r="BM61"/>
      <c r="BN61"/>
      <c r="BO61"/>
      <c r="BP61"/>
      <c r="CE61" s="257"/>
    </row>
    <row r="62" spans="2:83" s="256" customFormat="1" ht="15.75" x14ac:dyDescent="0.25">
      <c r="B62" s="254"/>
      <c r="E62" s="254"/>
      <c r="AS62"/>
      <c r="AT62"/>
      <c r="AU62"/>
      <c r="AV62"/>
      <c r="AW62"/>
      <c r="AX62"/>
      <c r="AY62"/>
      <c r="AZ62"/>
      <c r="BA62"/>
      <c r="BB62"/>
      <c r="BC62"/>
      <c r="BD62"/>
      <c r="BE62"/>
      <c r="BG62"/>
      <c r="BH62"/>
      <c r="BI62" s="10"/>
      <c r="BJ62"/>
      <c r="BK62"/>
      <c r="BL62"/>
      <c r="BM62"/>
      <c r="BN62"/>
      <c r="BO62"/>
      <c r="BP62"/>
      <c r="CE62" s="257"/>
    </row>
    <row r="63" spans="2:83" s="256" customFormat="1" ht="15.75" x14ac:dyDescent="0.25">
      <c r="B63" s="254"/>
      <c r="E63" s="254"/>
      <c r="AS63"/>
      <c r="AT63"/>
      <c r="AU63"/>
      <c r="AV63"/>
      <c r="AW63"/>
      <c r="AX63"/>
      <c r="AY63"/>
      <c r="AZ63"/>
      <c r="BA63"/>
      <c r="BB63"/>
      <c r="BC63"/>
      <c r="BD63"/>
      <c r="BE63"/>
      <c r="BG63"/>
      <c r="BH63"/>
      <c r="BI63" s="10"/>
      <c r="BJ63"/>
      <c r="BK63"/>
      <c r="BL63"/>
      <c r="BM63"/>
      <c r="BN63"/>
      <c r="BO63"/>
      <c r="BP63"/>
      <c r="CE63" s="257"/>
    </row>
    <row r="64" spans="2:83" s="256" customFormat="1" ht="15.75" x14ac:dyDescent="0.25">
      <c r="B64" s="254"/>
      <c r="E64" s="254"/>
      <c r="AS64"/>
      <c r="AT64"/>
      <c r="AU64"/>
      <c r="AV64"/>
      <c r="AW64"/>
      <c r="AX64"/>
      <c r="AY64"/>
      <c r="AZ64"/>
      <c r="BA64"/>
      <c r="BB64"/>
      <c r="BC64"/>
      <c r="BD64"/>
      <c r="BE64"/>
      <c r="BG64"/>
      <c r="BH64"/>
      <c r="BI64" s="10"/>
      <c r="BJ64"/>
      <c r="BK64"/>
      <c r="BL64"/>
      <c r="BM64"/>
      <c r="BN64"/>
      <c r="BO64"/>
      <c r="BP64"/>
      <c r="CE64" s="257"/>
    </row>
    <row r="65" spans="2:83" s="256" customFormat="1" ht="15.75" x14ac:dyDescent="0.25">
      <c r="B65" s="254"/>
      <c r="E65" s="254"/>
      <c r="AS65"/>
      <c r="AT65"/>
      <c r="AU65"/>
      <c r="AV65"/>
      <c r="AW65"/>
      <c r="AX65"/>
      <c r="AY65"/>
      <c r="AZ65"/>
      <c r="BA65"/>
      <c r="BB65"/>
      <c r="BC65"/>
      <c r="BD65"/>
      <c r="BE65"/>
      <c r="BG65"/>
      <c r="BH65"/>
      <c r="BI65" s="10"/>
      <c r="BJ65"/>
      <c r="BK65"/>
      <c r="BL65"/>
      <c r="BM65"/>
      <c r="BN65"/>
      <c r="BO65"/>
      <c r="BP65"/>
      <c r="CE65" s="257"/>
    </row>
    <row r="66" spans="2:83" s="256" customFormat="1" ht="15.75" x14ac:dyDescent="0.25">
      <c r="B66" s="254"/>
      <c r="E66" s="254"/>
      <c r="AS66"/>
      <c r="AT66"/>
      <c r="AU66"/>
      <c r="AV66"/>
      <c r="AW66"/>
      <c r="AX66"/>
      <c r="AY66"/>
      <c r="AZ66"/>
      <c r="BA66"/>
      <c r="BB66"/>
      <c r="BC66"/>
      <c r="BD66"/>
      <c r="BE66"/>
      <c r="BG66"/>
      <c r="BH66"/>
      <c r="BI66" s="10"/>
      <c r="BJ66"/>
      <c r="BK66"/>
      <c r="BL66"/>
      <c r="BM66"/>
      <c r="BN66"/>
      <c r="BO66"/>
      <c r="BP66"/>
      <c r="CE66" s="257"/>
    </row>
    <row r="67" spans="2:83" s="256" customFormat="1" ht="15.75" x14ac:dyDescent="0.25">
      <c r="B67" s="254"/>
      <c r="E67" s="254"/>
      <c r="AS67"/>
      <c r="AT67"/>
      <c r="AU67"/>
      <c r="AV67"/>
      <c r="AW67"/>
      <c r="AX67"/>
      <c r="AY67"/>
      <c r="AZ67"/>
      <c r="BA67"/>
      <c r="BB67"/>
      <c r="BC67"/>
      <c r="BD67"/>
      <c r="BE67"/>
      <c r="BG67"/>
      <c r="BH67"/>
      <c r="BI67" s="10"/>
      <c r="BJ67"/>
      <c r="BK67"/>
      <c r="BL67"/>
      <c r="BM67"/>
      <c r="BN67"/>
      <c r="BO67"/>
      <c r="BP67"/>
      <c r="CE67" s="257"/>
    </row>
    <row r="68" spans="2:83" s="256" customFormat="1" ht="15.75" x14ac:dyDescent="0.25">
      <c r="B68" s="254"/>
      <c r="E68" s="254"/>
      <c r="AS68"/>
      <c r="AT68"/>
      <c r="AU68"/>
      <c r="AV68"/>
      <c r="AW68"/>
      <c r="AX68"/>
      <c r="AY68"/>
      <c r="AZ68"/>
      <c r="BA68"/>
      <c r="BB68"/>
      <c r="BC68"/>
      <c r="BD68"/>
      <c r="BE68"/>
      <c r="BG68"/>
      <c r="BH68"/>
      <c r="BI68" s="10"/>
      <c r="BJ68"/>
      <c r="BK68"/>
      <c r="BL68"/>
      <c r="BM68"/>
      <c r="BN68"/>
      <c r="BO68"/>
      <c r="BP68"/>
      <c r="CE68" s="257"/>
    </row>
    <row r="69" spans="2:83" s="256" customFormat="1" ht="15.75" x14ac:dyDescent="0.25">
      <c r="B69" s="254"/>
      <c r="E69" s="254"/>
      <c r="AS69"/>
      <c r="AT69"/>
      <c r="AU69"/>
      <c r="AV69"/>
      <c r="AW69"/>
      <c r="AX69"/>
      <c r="AY69"/>
      <c r="AZ69"/>
      <c r="BA69"/>
      <c r="BB69"/>
      <c r="BC69"/>
      <c r="BD69"/>
      <c r="BE69"/>
      <c r="BG69"/>
      <c r="BH69"/>
      <c r="BI69" s="10"/>
      <c r="BJ69"/>
      <c r="BK69"/>
      <c r="BL69"/>
      <c r="BM69"/>
      <c r="BN69"/>
      <c r="BO69"/>
      <c r="BP69"/>
      <c r="CE69" s="257"/>
    </row>
    <row r="70" spans="2:83" s="256" customFormat="1" ht="15.75" x14ac:dyDescent="0.25">
      <c r="B70" s="254"/>
      <c r="E70" s="254"/>
      <c r="AS70"/>
      <c r="AT70"/>
      <c r="AU70"/>
      <c r="AV70"/>
      <c r="AW70"/>
      <c r="AX70"/>
      <c r="AY70"/>
      <c r="AZ70"/>
      <c r="BA70"/>
      <c r="BB70"/>
      <c r="BC70"/>
      <c r="BD70"/>
      <c r="BE70"/>
      <c r="BG70"/>
      <c r="BH70"/>
      <c r="BI70" s="10"/>
      <c r="BJ70"/>
      <c r="BK70"/>
      <c r="BL70"/>
      <c r="BM70"/>
      <c r="BN70"/>
      <c r="BO70"/>
      <c r="BP70"/>
      <c r="CE70" s="257"/>
    </row>
    <row r="71" spans="2:83" s="256" customFormat="1" ht="15.75" x14ac:dyDescent="0.25">
      <c r="B71" s="254"/>
      <c r="E71" s="254"/>
      <c r="AS71"/>
      <c r="AT71"/>
      <c r="AU71"/>
      <c r="AV71"/>
      <c r="AW71"/>
      <c r="AX71"/>
      <c r="AY71"/>
      <c r="AZ71"/>
      <c r="BA71"/>
      <c r="BB71"/>
      <c r="BC71"/>
      <c r="BD71"/>
      <c r="BE71"/>
      <c r="BG71"/>
      <c r="BH71"/>
      <c r="BI71" s="10"/>
      <c r="BJ71"/>
      <c r="BK71"/>
      <c r="BL71"/>
      <c r="BM71"/>
      <c r="BN71"/>
      <c r="BO71"/>
      <c r="BP71"/>
      <c r="CE71" s="257"/>
    </row>
    <row r="72" spans="2:83" s="256" customFormat="1" ht="15.75" x14ac:dyDescent="0.25">
      <c r="B72" s="254"/>
      <c r="E72" s="254"/>
      <c r="AS72"/>
      <c r="AT72"/>
      <c r="AU72"/>
      <c r="AV72"/>
      <c r="AW72"/>
      <c r="AX72"/>
      <c r="AY72"/>
      <c r="AZ72"/>
      <c r="BA72"/>
      <c r="BB72"/>
      <c r="BC72"/>
      <c r="BD72"/>
      <c r="BE72"/>
      <c r="BG72"/>
      <c r="BH72"/>
      <c r="BI72" s="10"/>
      <c r="BJ72"/>
      <c r="BK72"/>
      <c r="BL72"/>
      <c r="BM72"/>
      <c r="BN72"/>
      <c r="BO72"/>
      <c r="BP72"/>
      <c r="CE72" s="257"/>
    </row>
    <row r="73" spans="2:83" s="256" customFormat="1" ht="15.75" x14ac:dyDescent="0.25">
      <c r="B73" s="254"/>
      <c r="E73" s="254"/>
      <c r="AS73"/>
      <c r="AT73"/>
      <c r="AU73"/>
      <c r="AV73"/>
      <c r="AW73"/>
      <c r="AX73"/>
      <c r="AY73"/>
      <c r="AZ73"/>
      <c r="BA73"/>
      <c r="BB73"/>
      <c r="BC73"/>
      <c r="BD73"/>
      <c r="BE73"/>
      <c r="BG73"/>
      <c r="BH73"/>
      <c r="BI73" s="10"/>
      <c r="BJ73"/>
      <c r="BK73"/>
      <c r="BL73"/>
      <c r="BM73"/>
      <c r="BN73"/>
      <c r="BO73"/>
      <c r="BP73"/>
      <c r="CE73" s="257"/>
    </row>
    <row r="74" spans="2:83" s="256" customFormat="1" ht="15.75" x14ac:dyDescent="0.25">
      <c r="B74" s="254"/>
      <c r="E74" s="254"/>
      <c r="AS74"/>
      <c r="AT74"/>
      <c r="AU74"/>
      <c r="AV74"/>
      <c r="AW74"/>
      <c r="AX74"/>
      <c r="AY74"/>
      <c r="AZ74"/>
      <c r="BA74"/>
      <c r="BB74"/>
      <c r="BC74"/>
      <c r="BD74"/>
      <c r="BE74"/>
      <c r="BG74"/>
      <c r="BH74"/>
      <c r="BI74" s="10"/>
      <c r="BJ74"/>
      <c r="BK74"/>
      <c r="BL74"/>
      <c r="BM74"/>
      <c r="BN74"/>
      <c r="BO74"/>
      <c r="BP74"/>
      <c r="CE74" s="257"/>
    </row>
    <row r="75" spans="2:83" s="256" customFormat="1" ht="15.75" x14ac:dyDescent="0.25">
      <c r="B75" s="254"/>
      <c r="E75" s="254"/>
      <c r="AS75"/>
      <c r="AT75"/>
      <c r="AU75"/>
      <c r="AV75"/>
      <c r="AW75"/>
      <c r="AX75"/>
      <c r="AY75"/>
      <c r="AZ75"/>
      <c r="BA75"/>
      <c r="BB75"/>
      <c r="BC75"/>
      <c r="BD75"/>
      <c r="BE75"/>
      <c r="BG75"/>
      <c r="BH75"/>
      <c r="BI75" s="10"/>
      <c r="BJ75"/>
      <c r="BK75"/>
      <c r="BL75"/>
      <c r="BM75"/>
      <c r="BN75"/>
      <c r="BO75"/>
      <c r="BP75"/>
      <c r="CE75" s="257"/>
    </row>
    <row r="76" spans="2:83" s="256" customFormat="1" ht="15.75" x14ac:dyDescent="0.25">
      <c r="B76" s="254"/>
      <c r="E76" s="254"/>
      <c r="AS76"/>
      <c r="AT76"/>
      <c r="AU76"/>
      <c r="AV76"/>
      <c r="AW76"/>
      <c r="AX76"/>
      <c r="AY76"/>
      <c r="AZ76"/>
      <c r="BA76"/>
      <c r="BB76"/>
      <c r="BC76"/>
      <c r="BD76"/>
      <c r="BE76"/>
      <c r="BG76"/>
      <c r="BH76"/>
      <c r="BI76" s="10"/>
      <c r="BJ76"/>
      <c r="BK76"/>
      <c r="BL76"/>
      <c r="BM76"/>
      <c r="BN76"/>
      <c r="BO76"/>
      <c r="BP76"/>
      <c r="CE76" s="257"/>
    </row>
    <row r="77" spans="2:83" s="256" customFormat="1" ht="15.75" x14ac:dyDescent="0.25">
      <c r="B77" s="254"/>
      <c r="E77" s="254"/>
      <c r="AS77"/>
      <c r="AT77"/>
      <c r="AU77"/>
      <c r="AV77"/>
      <c r="AW77"/>
      <c r="AX77"/>
      <c r="AY77"/>
      <c r="AZ77"/>
      <c r="BA77"/>
      <c r="BB77"/>
      <c r="BC77"/>
      <c r="BD77"/>
      <c r="BE77"/>
      <c r="BG77"/>
      <c r="BH77"/>
      <c r="BI77" s="10"/>
      <c r="BJ77"/>
      <c r="BK77"/>
      <c r="BL77"/>
      <c r="BM77"/>
      <c r="BN77"/>
      <c r="BO77"/>
      <c r="BP77"/>
      <c r="CE77" s="257"/>
    </row>
    <row r="78" spans="2:83" s="256" customFormat="1" ht="15.75" x14ac:dyDescent="0.25">
      <c r="B78" s="254"/>
      <c r="E78" s="254"/>
      <c r="AS78"/>
      <c r="AT78"/>
      <c r="AU78"/>
      <c r="AV78"/>
      <c r="AW78"/>
      <c r="AX78"/>
      <c r="AY78"/>
      <c r="AZ78"/>
      <c r="BA78"/>
      <c r="BB78"/>
      <c r="BC78"/>
      <c r="BD78"/>
      <c r="BE78"/>
      <c r="BG78"/>
      <c r="BH78"/>
      <c r="BI78" s="10"/>
      <c r="BJ78"/>
      <c r="BK78"/>
      <c r="BL78"/>
      <c r="BM78"/>
      <c r="BN78"/>
      <c r="BO78"/>
      <c r="BP78"/>
      <c r="CE78" s="257"/>
    </row>
    <row r="79" spans="2:83" s="256" customFormat="1" ht="15.75" x14ac:dyDescent="0.25">
      <c r="B79" s="254"/>
      <c r="E79" s="254"/>
      <c r="AS79"/>
      <c r="AT79"/>
      <c r="AU79"/>
      <c r="AV79"/>
      <c r="AW79"/>
      <c r="AX79"/>
      <c r="AY79"/>
      <c r="AZ79"/>
      <c r="BA79"/>
      <c r="BB79"/>
      <c r="BC79"/>
      <c r="BD79"/>
      <c r="BE79"/>
      <c r="BG79"/>
      <c r="BH79"/>
      <c r="BI79" s="10"/>
      <c r="BJ79"/>
      <c r="BK79"/>
      <c r="BL79"/>
      <c r="BM79"/>
      <c r="BN79"/>
      <c r="BO79"/>
      <c r="BP79"/>
      <c r="CE79" s="257"/>
    </row>
    <row r="80" spans="2:83" s="256" customFormat="1" ht="15.75" x14ac:dyDescent="0.25">
      <c r="B80" s="254"/>
      <c r="E80" s="254"/>
      <c r="AS80"/>
      <c r="AT80"/>
      <c r="AU80"/>
      <c r="AV80"/>
      <c r="AW80"/>
      <c r="AX80"/>
      <c r="AY80"/>
      <c r="AZ80"/>
      <c r="BA80"/>
      <c r="BB80"/>
      <c r="BC80"/>
      <c r="BD80"/>
      <c r="BE80"/>
      <c r="BG80"/>
      <c r="BH80"/>
      <c r="BI80" s="10"/>
      <c r="BJ80"/>
      <c r="BK80"/>
      <c r="BL80"/>
      <c r="BM80"/>
      <c r="BN80"/>
      <c r="BO80"/>
      <c r="BP80"/>
      <c r="CE80" s="257"/>
    </row>
    <row r="81" spans="2:83" s="256" customFormat="1" ht="15.75" x14ac:dyDescent="0.25">
      <c r="B81" s="254"/>
      <c r="E81" s="254"/>
      <c r="AS81"/>
      <c r="AT81"/>
      <c r="AU81"/>
      <c r="AV81"/>
      <c r="AW81"/>
      <c r="AX81"/>
      <c r="AY81"/>
      <c r="AZ81"/>
      <c r="BA81"/>
      <c r="BB81"/>
      <c r="BC81"/>
      <c r="BD81"/>
      <c r="BE81"/>
      <c r="BG81"/>
      <c r="BH81"/>
      <c r="BI81" s="10"/>
      <c r="BJ81"/>
      <c r="BK81"/>
      <c r="BL81"/>
      <c r="BM81"/>
      <c r="BN81"/>
      <c r="BO81"/>
      <c r="BP81"/>
      <c r="CE81" s="257"/>
    </row>
    <row r="82" spans="2:83" s="256" customFormat="1" ht="15.75" x14ac:dyDescent="0.25">
      <c r="B82" s="254"/>
      <c r="E82" s="254"/>
      <c r="AS82"/>
      <c r="AT82"/>
      <c r="AU82"/>
      <c r="AV82"/>
      <c r="AW82"/>
      <c r="AX82"/>
      <c r="AY82"/>
      <c r="AZ82"/>
      <c r="BA82"/>
      <c r="BB82"/>
      <c r="BC82"/>
      <c r="BD82"/>
      <c r="BE82"/>
      <c r="BG82"/>
      <c r="BH82"/>
      <c r="BI82" s="10"/>
      <c r="BJ82"/>
      <c r="BK82"/>
      <c r="BL82"/>
      <c r="BM82"/>
      <c r="BN82"/>
      <c r="BO82"/>
      <c r="BP82"/>
      <c r="CE82" s="257"/>
    </row>
    <row r="83" spans="2:83" s="256" customFormat="1" ht="15.75" x14ac:dyDescent="0.25">
      <c r="B83" s="254"/>
      <c r="E83" s="254"/>
      <c r="AS83"/>
      <c r="AT83"/>
      <c r="AU83"/>
      <c r="AV83"/>
      <c r="AW83"/>
      <c r="AX83"/>
      <c r="AY83"/>
      <c r="AZ83"/>
      <c r="BA83"/>
      <c r="BB83"/>
      <c r="BC83"/>
      <c r="BD83"/>
      <c r="BE83"/>
      <c r="BG83"/>
      <c r="BH83"/>
      <c r="BI83" s="10"/>
      <c r="BJ83"/>
      <c r="BK83"/>
      <c r="BL83"/>
      <c r="BM83"/>
      <c r="BN83"/>
      <c r="BO83"/>
      <c r="BP83"/>
      <c r="CE83" s="257"/>
    </row>
    <row r="84" spans="2:83" s="256" customFormat="1" ht="15.75" x14ac:dyDescent="0.25">
      <c r="B84" s="254"/>
      <c r="E84" s="254"/>
      <c r="AS84"/>
      <c r="AT84"/>
      <c r="AU84"/>
      <c r="AV84"/>
      <c r="AW84"/>
      <c r="AX84"/>
      <c r="AY84"/>
      <c r="AZ84"/>
      <c r="BA84"/>
      <c r="BB84"/>
      <c r="BC84"/>
      <c r="BD84"/>
      <c r="BE84"/>
      <c r="BG84"/>
      <c r="BH84"/>
      <c r="BI84" s="10"/>
      <c r="BJ84"/>
      <c r="BK84"/>
      <c r="BL84"/>
      <c r="BM84"/>
      <c r="BN84"/>
      <c r="BO84"/>
      <c r="BP84"/>
      <c r="CE84" s="257"/>
    </row>
    <row r="85" spans="2:83" s="256" customFormat="1" ht="15.75" x14ac:dyDescent="0.25">
      <c r="B85" s="254"/>
      <c r="E85" s="254"/>
      <c r="AS85"/>
      <c r="AT85"/>
      <c r="AU85"/>
      <c r="AV85"/>
      <c r="AW85"/>
      <c r="AX85"/>
      <c r="AY85"/>
      <c r="AZ85"/>
      <c r="BA85"/>
      <c r="BB85"/>
      <c r="BC85"/>
      <c r="BD85"/>
      <c r="BE85"/>
      <c r="BG85"/>
      <c r="BH85"/>
      <c r="BI85" s="10"/>
      <c r="BJ85"/>
      <c r="BK85"/>
      <c r="BL85"/>
      <c r="BM85"/>
      <c r="BN85"/>
      <c r="BO85"/>
      <c r="BP85"/>
      <c r="CE85" s="257"/>
    </row>
    <row r="86" spans="2:83" s="256" customFormat="1" ht="15.75" x14ac:dyDescent="0.25">
      <c r="B86" s="254"/>
      <c r="E86" s="254"/>
      <c r="AS86"/>
      <c r="AT86"/>
      <c r="AU86"/>
      <c r="AV86"/>
      <c r="AW86"/>
      <c r="AX86"/>
      <c r="AY86"/>
      <c r="AZ86"/>
      <c r="BA86"/>
      <c r="BB86"/>
      <c r="BC86"/>
      <c r="BD86"/>
      <c r="BE86"/>
      <c r="BG86"/>
      <c r="BH86"/>
      <c r="BI86" s="10"/>
      <c r="BJ86"/>
      <c r="BK86"/>
      <c r="BL86"/>
      <c r="BM86"/>
      <c r="BN86"/>
      <c r="BO86"/>
      <c r="BP86"/>
      <c r="CE86" s="257"/>
    </row>
    <row r="87" spans="2:83" s="256" customFormat="1" ht="15.75" x14ac:dyDescent="0.25">
      <c r="B87" s="254"/>
      <c r="E87" s="254"/>
      <c r="AS87"/>
      <c r="AT87"/>
      <c r="AU87"/>
      <c r="AV87"/>
      <c r="AW87"/>
      <c r="AX87"/>
      <c r="AY87"/>
      <c r="AZ87"/>
      <c r="BA87"/>
      <c r="BB87"/>
      <c r="BC87"/>
      <c r="BD87"/>
      <c r="BE87"/>
      <c r="BG87"/>
      <c r="BH87"/>
      <c r="BI87" s="10"/>
      <c r="BJ87"/>
      <c r="BK87"/>
      <c r="BL87"/>
      <c r="BM87"/>
      <c r="BN87"/>
      <c r="BO87"/>
      <c r="BP87"/>
      <c r="CE87" s="257"/>
    </row>
    <row r="88" spans="2:83" s="256" customFormat="1" ht="15.75" x14ac:dyDescent="0.25">
      <c r="B88" s="254"/>
      <c r="E88" s="254"/>
      <c r="AS88"/>
      <c r="AT88"/>
      <c r="AU88"/>
      <c r="AV88"/>
      <c r="AW88"/>
      <c r="AX88"/>
      <c r="AY88"/>
      <c r="AZ88"/>
      <c r="BA88"/>
      <c r="BB88"/>
      <c r="BC88"/>
      <c r="BD88"/>
      <c r="BE88"/>
      <c r="BG88"/>
      <c r="BH88"/>
      <c r="BI88" s="10"/>
      <c r="BJ88"/>
      <c r="BK88"/>
      <c r="BL88"/>
      <c r="BM88"/>
      <c r="BN88"/>
      <c r="BO88"/>
      <c r="BP88"/>
      <c r="CE88" s="257"/>
    </row>
    <row r="89" spans="2:83" s="256" customFormat="1" ht="15.75" x14ac:dyDescent="0.25">
      <c r="B89" s="254"/>
      <c r="E89" s="254"/>
      <c r="AS89"/>
      <c r="AT89"/>
      <c r="AU89"/>
      <c r="AV89"/>
      <c r="AW89"/>
      <c r="AX89"/>
      <c r="AY89"/>
      <c r="AZ89"/>
      <c r="BA89"/>
      <c r="BB89"/>
      <c r="BC89"/>
      <c r="BD89"/>
      <c r="BE89"/>
      <c r="BG89"/>
      <c r="BH89"/>
      <c r="BI89" s="10"/>
      <c r="BJ89"/>
      <c r="BK89"/>
      <c r="BL89"/>
      <c r="BM89"/>
      <c r="BN89"/>
      <c r="BO89"/>
      <c r="BP89"/>
      <c r="CE89" s="257"/>
    </row>
    <row r="90" spans="2:83" s="256" customFormat="1" ht="15.75" x14ac:dyDescent="0.25">
      <c r="B90" s="254"/>
      <c r="E90" s="254"/>
      <c r="AS90"/>
      <c r="AT90"/>
      <c r="AU90"/>
      <c r="AV90"/>
      <c r="AW90"/>
      <c r="AX90"/>
      <c r="AY90"/>
      <c r="AZ90"/>
      <c r="BA90"/>
      <c r="BB90"/>
      <c r="BC90"/>
      <c r="BD90"/>
      <c r="BE90"/>
      <c r="BG90"/>
      <c r="BH90"/>
      <c r="BI90" s="10"/>
      <c r="BJ90"/>
      <c r="BK90"/>
      <c r="BL90"/>
      <c r="BM90"/>
      <c r="BN90"/>
      <c r="BO90"/>
      <c r="BP90"/>
      <c r="CE90" s="257"/>
    </row>
    <row r="91" spans="2:83" s="256" customFormat="1" ht="15.75" x14ac:dyDescent="0.25">
      <c r="B91" s="254"/>
      <c r="E91" s="254"/>
      <c r="AS91"/>
      <c r="AT91"/>
      <c r="AU91"/>
      <c r="AV91"/>
      <c r="AW91"/>
      <c r="AX91"/>
      <c r="AY91"/>
      <c r="AZ91"/>
      <c r="BA91"/>
      <c r="BB91"/>
      <c r="BC91"/>
      <c r="BD91"/>
      <c r="BE91"/>
      <c r="BG91"/>
      <c r="BH91"/>
      <c r="BI91" s="10"/>
      <c r="BJ91"/>
      <c r="BK91"/>
      <c r="BL91"/>
      <c r="BM91"/>
      <c r="BN91"/>
      <c r="BO91"/>
      <c r="BP91"/>
      <c r="CE91" s="257"/>
    </row>
    <row r="92" spans="2:83" s="256" customFormat="1" ht="15.75" x14ac:dyDescent="0.25">
      <c r="B92" s="254"/>
      <c r="E92" s="254"/>
      <c r="AS92"/>
      <c r="AT92"/>
      <c r="AU92"/>
      <c r="AV92"/>
      <c r="AW92"/>
      <c r="AX92"/>
      <c r="AY92"/>
      <c r="AZ92"/>
      <c r="BA92"/>
      <c r="BB92"/>
      <c r="BC92"/>
      <c r="BD92"/>
      <c r="BE92"/>
      <c r="BG92"/>
      <c r="BH92"/>
      <c r="BI92" s="10"/>
      <c r="BJ92"/>
      <c r="BK92"/>
      <c r="BL92"/>
      <c r="BM92"/>
      <c r="BN92"/>
      <c r="BO92"/>
      <c r="BP92"/>
      <c r="CE92" s="257"/>
    </row>
    <row r="93" spans="2:83" s="256" customFormat="1" ht="15.75" x14ac:dyDescent="0.25">
      <c r="B93" s="254"/>
      <c r="E93" s="254"/>
      <c r="AS93"/>
      <c r="AT93"/>
      <c r="AU93"/>
      <c r="AV93"/>
      <c r="AW93"/>
      <c r="AX93"/>
      <c r="AY93"/>
      <c r="AZ93"/>
      <c r="BA93"/>
      <c r="BB93"/>
      <c r="BC93"/>
      <c r="BD93"/>
      <c r="BE93"/>
      <c r="BG93"/>
      <c r="BH93"/>
      <c r="BI93" s="10"/>
      <c r="BJ93"/>
      <c r="BK93"/>
      <c r="BL93"/>
      <c r="BM93"/>
      <c r="BN93"/>
      <c r="BO93"/>
      <c r="BP93"/>
      <c r="CE93" s="257"/>
    </row>
    <row r="94" spans="2:83" s="256" customFormat="1" ht="15.75" x14ac:dyDescent="0.25">
      <c r="B94" s="254"/>
      <c r="E94" s="254"/>
      <c r="AS94"/>
      <c r="AT94"/>
      <c r="AU94"/>
      <c r="AV94"/>
      <c r="AW94"/>
      <c r="AX94"/>
      <c r="AY94"/>
      <c r="AZ94"/>
      <c r="BA94"/>
      <c r="BB94"/>
      <c r="BC94"/>
      <c r="BD94"/>
      <c r="BE94"/>
      <c r="BG94"/>
      <c r="BH94"/>
      <c r="BI94" s="10"/>
      <c r="BJ94"/>
      <c r="BK94"/>
      <c r="BL94"/>
      <c r="BM94"/>
      <c r="BN94"/>
      <c r="BO94"/>
      <c r="BP94"/>
      <c r="CE94" s="257"/>
    </row>
    <row r="95" spans="2:83" s="256" customFormat="1" ht="15.75" x14ac:dyDescent="0.25">
      <c r="B95" s="254"/>
      <c r="E95" s="254"/>
      <c r="AS95"/>
      <c r="AT95"/>
      <c r="AU95"/>
      <c r="AV95"/>
      <c r="AW95"/>
      <c r="AX95"/>
      <c r="AY95"/>
      <c r="AZ95"/>
      <c r="BA95"/>
      <c r="BB95"/>
      <c r="BC95"/>
      <c r="BD95"/>
      <c r="BE95"/>
      <c r="BG95"/>
      <c r="BH95"/>
      <c r="BI95" s="10"/>
      <c r="BJ95"/>
      <c r="BK95"/>
      <c r="BL95"/>
      <c r="BM95"/>
      <c r="BN95"/>
      <c r="BO95"/>
      <c r="BP95"/>
      <c r="CE95" s="257"/>
    </row>
    <row r="96" spans="2:83" s="256" customFormat="1" ht="15.75" x14ac:dyDescent="0.25">
      <c r="B96" s="254"/>
      <c r="E96" s="254"/>
      <c r="AS96"/>
      <c r="AT96"/>
      <c r="AU96"/>
      <c r="AV96"/>
      <c r="AW96"/>
      <c r="AX96"/>
      <c r="AY96"/>
      <c r="AZ96"/>
      <c r="BA96"/>
      <c r="BB96"/>
      <c r="BC96"/>
      <c r="BD96"/>
      <c r="BE96"/>
      <c r="BG96"/>
      <c r="BH96"/>
      <c r="BI96" s="10"/>
      <c r="BJ96"/>
      <c r="BK96"/>
      <c r="BL96"/>
      <c r="BM96"/>
      <c r="BN96"/>
      <c r="BO96"/>
      <c r="BP96"/>
      <c r="CE96" s="257"/>
    </row>
    <row r="97" spans="2:83" s="256" customFormat="1" ht="15.75" x14ac:dyDescent="0.25">
      <c r="B97" s="254"/>
      <c r="E97" s="254"/>
      <c r="AS97"/>
      <c r="AT97"/>
      <c r="AU97"/>
      <c r="AV97"/>
      <c r="AW97"/>
      <c r="AX97"/>
      <c r="AY97"/>
      <c r="AZ97"/>
      <c r="BA97"/>
      <c r="BB97"/>
      <c r="BC97"/>
      <c r="BD97"/>
      <c r="BE97"/>
      <c r="BG97"/>
      <c r="BH97"/>
      <c r="BI97" s="10"/>
      <c r="BJ97"/>
      <c r="BK97"/>
      <c r="BL97"/>
      <c r="BM97"/>
      <c r="BN97"/>
      <c r="BO97"/>
      <c r="BP97"/>
      <c r="CE97" s="257"/>
    </row>
    <row r="98" spans="2:83" s="256" customFormat="1" ht="15.75" x14ac:dyDescent="0.25">
      <c r="B98" s="254"/>
      <c r="E98" s="254"/>
      <c r="AS98"/>
      <c r="AT98"/>
      <c r="AU98"/>
      <c r="AV98"/>
      <c r="AW98"/>
      <c r="AX98"/>
      <c r="AY98"/>
      <c r="AZ98"/>
      <c r="BA98"/>
      <c r="BB98"/>
      <c r="BC98"/>
      <c r="BD98"/>
      <c r="BE98"/>
      <c r="BG98"/>
      <c r="BH98"/>
      <c r="BI98" s="10"/>
      <c r="BJ98"/>
      <c r="BK98"/>
      <c r="BL98"/>
      <c r="BM98"/>
      <c r="BN98"/>
      <c r="BO98"/>
      <c r="BP98"/>
      <c r="CE98" s="257"/>
    </row>
    <row r="99" spans="2:83" s="256" customFormat="1" ht="15.75" x14ac:dyDescent="0.25">
      <c r="B99" s="254"/>
      <c r="E99" s="254"/>
      <c r="AS99"/>
      <c r="AT99"/>
      <c r="AU99"/>
      <c r="AV99"/>
      <c r="AW99"/>
      <c r="AX99"/>
      <c r="AY99"/>
      <c r="AZ99"/>
      <c r="BA99"/>
      <c r="BB99"/>
      <c r="BC99"/>
      <c r="BD99"/>
      <c r="BE99"/>
      <c r="BG99"/>
      <c r="BH99"/>
      <c r="BI99" s="10"/>
      <c r="BJ99"/>
      <c r="BK99"/>
      <c r="BL99"/>
      <c r="BM99"/>
      <c r="BN99"/>
      <c r="BO99"/>
      <c r="BP99"/>
      <c r="CE99" s="257"/>
    </row>
    <row r="100" spans="2:83" s="256" customFormat="1" ht="15.75" x14ac:dyDescent="0.25">
      <c r="B100" s="254"/>
      <c r="E100" s="254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G100"/>
      <c r="BH100"/>
      <c r="BI100" s="10"/>
      <c r="BJ100"/>
      <c r="BK100"/>
      <c r="BL100"/>
      <c r="BM100"/>
      <c r="BN100"/>
      <c r="BO100"/>
      <c r="BP100"/>
      <c r="CE100" s="257"/>
    </row>
    <row r="101" spans="2:83" s="256" customFormat="1" ht="15.75" x14ac:dyDescent="0.25">
      <c r="B101" s="254"/>
      <c r="E101" s="254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G101"/>
      <c r="BH101"/>
      <c r="BI101" s="10"/>
      <c r="BJ101"/>
      <c r="BK101"/>
      <c r="BL101"/>
      <c r="BM101"/>
      <c r="BN101"/>
      <c r="BO101"/>
      <c r="BP101"/>
      <c r="CE101" s="257"/>
    </row>
    <row r="102" spans="2:83" s="256" customFormat="1" ht="15.75" x14ac:dyDescent="0.25">
      <c r="B102" s="254"/>
      <c r="E102" s="254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G102"/>
      <c r="BH102"/>
      <c r="BI102" s="10"/>
      <c r="BJ102"/>
      <c r="BK102"/>
      <c r="BL102"/>
      <c r="BM102"/>
      <c r="BN102"/>
      <c r="BO102"/>
      <c r="BP102"/>
      <c r="CE102" s="257"/>
    </row>
    <row r="103" spans="2:83" s="256" customFormat="1" ht="15.75" x14ac:dyDescent="0.25">
      <c r="B103" s="254"/>
      <c r="E103" s="254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G103"/>
      <c r="BH103"/>
      <c r="BI103" s="10"/>
      <c r="BJ103"/>
      <c r="BK103"/>
      <c r="BL103"/>
      <c r="BM103"/>
      <c r="BN103"/>
      <c r="BO103"/>
      <c r="BP103"/>
      <c r="CE103" s="257"/>
    </row>
    <row r="104" spans="2:83" s="256" customFormat="1" ht="15.75" x14ac:dyDescent="0.25">
      <c r="B104" s="254"/>
      <c r="E104" s="25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G104"/>
      <c r="BH104"/>
      <c r="BI104" s="10"/>
      <c r="BJ104"/>
      <c r="BK104"/>
      <c r="BL104"/>
      <c r="BM104"/>
      <c r="BN104"/>
      <c r="BO104"/>
      <c r="BP104"/>
      <c r="CE104" s="257"/>
    </row>
    <row r="105" spans="2:83" s="256" customFormat="1" ht="15.75" x14ac:dyDescent="0.25">
      <c r="B105" s="254"/>
      <c r="E105" s="254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G105"/>
      <c r="BH105"/>
      <c r="BI105" s="10"/>
      <c r="BJ105"/>
      <c r="BK105"/>
      <c r="BL105"/>
      <c r="BM105"/>
      <c r="BN105"/>
      <c r="BO105"/>
      <c r="BP105"/>
      <c r="CE105" s="257"/>
    </row>
    <row r="106" spans="2:83" s="256" customFormat="1" ht="15.75" x14ac:dyDescent="0.25">
      <c r="B106" s="254"/>
      <c r="E106" s="254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G106"/>
      <c r="BH106"/>
      <c r="BI106" s="10"/>
      <c r="BJ106"/>
      <c r="BK106"/>
      <c r="BL106"/>
      <c r="BM106"/>
      <c r="BN106"/>
      <c r="BO106"/>
      <c r="BP106"/>
      <c r="CE106" s="257"/>
    </row>
    <row r="107" spans="2:83" s="256" customFormat="1" ht="15.75" x14ac:dyDescent="0.25">
      <c r="B107" s="254"/>
      <c r="E107" s="254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G107"/>
      <c r="BH107"/>
      <c r="BI107" s="10"/>
      <c r="BJ107"/>
      <c r="BK107"/>
      <c r="BL107"/>
      <c r="BM107"/>
      <c r="BN107"/>
      <c r="BO107"/>
      <c r="BP107"/>
      <c r="CE107" s="257"/>
    </row>
    <row r="108" spans="2:83" s="256" customFormat="1" ht="15.75" x14ac:dyDescent="0.25">
      <c r="B108" s="254"/>
      <c r="E108" s="254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G108"/>
      <c r="BH108"/>
      <c r="BI108" s="10"/>
      <c r="BJ108"/>
      <c r="BK108"/>
      <c r="BL108"/>
      <c r="BM108"/>
      <c r="BN108"/>
      <c r="BO108"/>
      <c r="BP108"/>
      <c r="CE108" s="257"/>
    </row>
    <row r="109" spans="2:83" s="256" customFormat="1" ht="15.75" x14ac:dyDescent="0.25">
      <c r="B109" s="254"/>
      <c r="E109" s="254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G109"/>
      <c r="BH109"/>
      <c r="BI109" s="10"/>
      <c r="BJ109"/>
      <c r="BK109"/>
      <c r="BL109"/>
      <c r="BM109"/>
      <c r="BN109"/>
      <c r="BO109"/>
      <c r="BP109"/>
      <c r="CE109" s="257"/>
    </row>
    <row r="110" spans="2:83" s="256" customFormat="1" ht="15.75" x14ac:dyDescent="0.25">
      <c r="B110" s="254"/>
      <c r="E110" s="254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G110"/>
      <c r="BH110"/>
      <c r="BI110" s="10"/>
      <c r="BJ110"/>
      <c r="BK110"/>
      <c r="BL110"/>
      <c r="BM110"/>
      <c r="BN110"/>
      <c r="BO110"/>
      <c r="BP110"/>
      <c r="CE110" s="257"/>
    </row>
    <row r="111" spans="2:83" s="256" customFormat="1" ht="15.75" x14ac:dyDescent="0.25">
      <c r="B111" s="254"/>
      <c r="E111" s="254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G111"/>
      <c r="BH111"/>
      <c r="BI111" s="10"/>
      <c r="BJ111"/>
      <c r="BK111"/>
      <c r="BL111"/>
      <c r="BM111"/>
      <c r="BN111"/>
      <c r="BO111"/>
      <c r="BP111"/>
      <c r="CE111" s="257"/>
    </row>
    <row r="112" spans="2:83" s="256" customFormat="1" ht="15.75" x14ac:dyDescent="0.25">
      <c r="B112" s="254"/>
      <c r="E112" s="254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G112"/>
      <c r="BH112"/>
      <c r="BI112" s="10"/>
      <c r="BJ112"/>
      <c r="BK112"/>
      <c r="BL112"/>
      <c r="BM112"/>
      <c r="BN112"/>
      <c r="BO112"/>
      <c r="BP112"/>
      <c r="CE112" s="257"/>
    </row>
    <row r="113" spans="2:83" s="256" customFormat="1" ht="15.75" x14ac:dyDescent="0.25">
      <c r="B113" s="254"/>
      <c r="E113" s="254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G113"/>
      <c r="BH113"/>
      <c r="BI113" s="10"/>
      <c r="BJ113"/>
      <c r="BK113"/>
      <c r="BL113"/>
      <c r="BM113"/>
      <c r="BN113"/>
      <c r="BO113"/>
      <c r="BP113"/>
      <c r="CE113" s="257"/>
    </row>
    <row r="114" spans="2:83" s="256" customFormat="1" ht="15.75" x14ac:dyDescent="0.25">
      <c r="B114" s="254"/>
      <c r="E114" s="25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G114"/>
      <c r="BH114"/>
      <c r="BI114" s="10"/>
      <c r="BJ114"/>
      <c r="BK114"/>
      <c r="BL114"/>
      <c r="BM114"/>
      <c r="BN114"/>
      <c r="BO114"/>
      <c r="BP114"/>
      <c r="CE114" s="257"/>
    </row>
    <row r="115" spans="2:83" s="256" customFormat="1" ht="15.75" x14ac:dyDescent="0.25">
      <c r="B115" s="254"/>
      <c r="E115" s="254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G115"/>
      <c r="BH115"/>
      <c r="BI115" s="10"/>
      <c r="BJ115"/>
      <c r="BK115"/>
      <c r="BL115"/>
      <c r="BM115"/>
      <c r="BN115"/>
      <c r="BO115"/>
      <c r="BP115"/>
      <c r="CE115" s="257"/>
    </row>
    <row r="116" spans="2:83" s="256" customFormat="1" ht="15.75" x14ac:dyDescent="0.25">
      <c r="B116" s="254"/>
      <c r="E116" s="254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G116"/>
      <c r="BH116"/>
      <c r="BI116" s="10"/>
      <c r="BJ116"/>
      <c r="BK116"/>
      <c r="BL116"/>
      <c r="BM116"/>
      <c r="BN116"/>
      <c r="BO116"/>
      <c r="BP116"/>
      <c r="CE116" s="257"/>
    </row>
    <row r="117" spans="2:83" s="256" customFormat="1" ht="15.75" x14ac:dyDescent="0.25">
      <c r="B117" s="254"/>
      <c r="E117" s="254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G117"/>
      <c r="BH117"/>
      <c r="BI117" s="10"/>
      <c r="BJ117"/>
      <c r="BK117"/>
      <c r="BL117"/>
      <c r="BM117"/>
      <c r="BN117"/>
      <c r="BO117"/>
      <c r="BP117"/>
      <c r="CE117" s="257"/>
    </row>
    <row r="118" spans="2:83" s="256" customFormat="1" ht="15.75" x14ac:dyDescent="0.25">
      <c r="B118" s="254"/>
      <c r="E118" s="254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G118"/>
      <c r="BH118"/>
      <c r="BI118" s="10"/>
      <c r="BJ118"/>
      <c r="BK118"/>
      <c r="BL118"/>
      <c r="BM118"/>
      <c r="BN118"/>
      <c r="BO118"/>
      <c r="BP118"/>
      <c r="CE118" s="257"/>
    </row>
    <row r="119" spans="2:83" s="256" customFormat="1" ht="15.75" x14ac:dyDescent="0.25">
      <c r="B119" s="254"/>
      <c r="E119" s="254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G119"/>
      <c r="BH119"/>
      <c r="BI119" s="10"/>
      <c r="BJ119"/>
      <c r="BK119"/>
      <c r="BL119"/>
      <c r="BM119"/>
      <c r="BN119"/>
      <c r="BO119"/>
      <c r="BP119"/>
      <c r="CE119" s="257"/>
    </row>
    <row r="120" spans="2:83" s="256" customFormat="1" ht="15.75" x14ac:dyDescent="0.25">
      <c r="B120" s="254"/>
      <c r="E120" s="254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G120"/>
      <c r="BH120"/>
      <c r="BI120" s="10"/>
      <c r="BJ120"/>
      <c r="BK120"/>
      <c r="BL120"/>
      <c r="BM120"/>
      <c r="BN120"/>
      <c r="BO120"/>
      <c r="BP120"/>
      <c r="CE120" s="257"/>
    </row>
    <row r="121" spans="2:83" s="256" customFormat="1" ht="15.75" x14ac:dyDescent="0.25">
      <c r="B121" s="254"/>
      <c r="E121" s="254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G121"/>
      <c r="BH121"/>
      <c r="BI121" s="10"/>
      <c r="BJ121"/>
      <c r="BK121"/>
      <c r="BL121"/>
      <c r="BM121"/>
      <c r="BN121"/>
      <c r="BO121"/>
      <c r="BP121"/>
      <c r="CE121" s="257"/>
    </row>
    <row r="122" spans="2:83" s="256" customFormat="1" ht="15.75" x14ac:dyDescent="0.25">
      <c r="B122" s="254"/>
      <c r="E122" s="254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G122"/>
      <c r="BH122"/>
      <c r="BI122" s="10"/>
      <c r="BJ122"/>
      <c r="BK122"/>
      <c r="BL122"/>
      <c r="BM122"/>
      <c r="BN122"/>
      <c r="BO122"/>
      <c r="BP122"/>
      <c r="CE122" s="257"/>
    </row>
    <row r="123" spans="2:83" s="256" customFormat="1" ht="15.75" x14ac:dyDescent="0.25">
      <c r="B123" s="254"/>
      <c r="E123" s="254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G123"/>
      <c r="BH123"/>
      <c r="BI123" s="10"/>
      <c r="BJ123"/>
      <c r="BK123"/>
      <c r="BL123"/>
      <c r="BM123"/>
      <c r="BN123"/>
      <c r="BO123"/>
      <c r="BP123"/>
      <c r="CE123" s="257"/>
    </row>
    <row r="124" spans="2:83" s="256" customFormat="1" ht="15.75" x14ac:dyDescent="0.25">
      <c r="B124" s="254"/>
      <c r="E124" s="25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G124"/>
      <c r="BH124"/>
      <c r="BI124" s="10"/>
      <c r="BJ124"/>
      <c r="BK124"/>
      <c r="BL124"/>
      <c r="BM124"/>
      <c r="BN124"/>
      <c r="BO124"/>
      <c r="BP124"/>
      <c r="CE124" s="257"/>
    </row>
    <row r="125" spans="2:83" s="256" customFormat="1" ht="15.75" x14ac:dyDescent="0.25">
      <c r="B125" s="254"/>
      <c r="E125" s="254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G125"/>
      <c r="BH125"/>
      <c r="BI125" s="10"/>
      <c r="BJ125"/>
      <c r="BK125"/>
      <c r="BL125"/>
      <c r="BM125"/>
      <c r="BN125"/>
      <c r="BO125"/>
      <c r="BP125"/>
      <c r="CE125" s="257"/>
    </row>
    <row r="126" spans="2:83" s="256" customFormat="1" ht="15.75" x14ac:dyDescent="0.25">
      <c r="B126" s="254"/>
      <c r="E126" s="254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G126"/>
      <c r="BH126"/>
      <c r="BI126" s="10"/>
      <c r="BJ126"/>
      <c r="BK126"/>
      <c r="BL126"/>
      <c r="BM126"/>
      <c r="BN126"/>
      <c r="BO126"/>
      <c r="BP126"/>
      <c r="CE126" s="257"/>
    </row>
    <row r="127" spans="2:83" s="256" customFormat="1" ht="15.75" x14ac:dyDescent="0.25">
      <c r="B127" s="254"/>
      <c r="E127" s="254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G127"/>
      <c r="BH127"/>
      <c r="BI127" s="10"/>
      <c r="BJ127"/>
      <c r="BK127"/>
      <c r="BL127"/>
      <c r="BM127"/>
      <c r="BN127"/>
      <c r="BO127"/>
      <c r="BP127"/>
      <c r="CE127" s="257"/>
    </row>
    <row r="128" spans="2:83" s="256" customFormat="1" ht="15.75" x14ac:dyDescent="0.25">
      <c r="B128" s="254"/>
      <c r="E128" s="254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G128"/>
      <c r="BH128"/>
      <c r="BI128" s="10"/>
      <c r="BJ128"/>
      <c r="BK128"/>
      <c r="BL128"/>
      <c r="BM128"/>
      <c r="BN128"/>
      <c r="BO128"/>
      <c r="BP128"/>
      <c r="CE128" s="257"/>
    </row>
    <row r="129" spans="2:84" s="256" customFormat="1" ht="15.75" x14ac:dyDescent="0.25">
      <c r="B129" s="254"/>
      <c r="E129" s="254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G129"/>
      <c r="BH129"/>
      <c r="BI129" s="10"/>
      <c r="BJ129"/>
      <c r="BK129"/>
      <c r="BL129"/>
      <c r="BM129"/>
      <c r="BN129"/>
      <c r="BO129"/>
      <c r="BP129"/>
      <c r="CE129" s="257"/>
    </row>
    <row r="130" spans="2:84" s="256" customFormat="1" ht="15.75" x14ac:dyDescent="0.25">
      <c r="B130" s="254"/>
      <c r="E130" s="254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G130"/>
      <c r="BH130"/>
      <c r="BI130" s="10"/>
      <c r="BJ130"/>
      <c r="BK130"/>
      <c r="BL130"/>
      <c r="BM130"/>
      <c r="BN130"/>
      <c r="BO130"/>
      <c r="BP130"/>
      <c r="CE130" s="257"/>
    </row>
    <row r="131" spans="2:84" s="256" customFormat="1" ht="15.75" x14ac:dyDescent="0.25">
      <c r="B131" s="254"/>
      <c r="E131" s="254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G131"/>
      <c r="BH131"/>
      <c r="BI131" s="10"/>
      <c r="BJ131"/>
      <c r="BK131"/>
      <c r="BL131"/>
      <c r="BM131"/>
      <c r="BN131"/>
      <c r="BO131"/>
      <c r="BP131"/>
      <c r="CE131" s="257"/>
    </row>
    <row r="132" spans="2:84" s="256" customFormat="1" ht="15.75" x14ac:dyDescent="0.25">
      <c r="B132" s="254"/>
      <c r="E132" s="254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G132"/>
      <c r="BH132"/>
      <c r="BI132" s="10"/>
      <c r="BJ132"/>
      <c r="BK132"/>
      <c r="BL132"/>
      <c r="BM132"/>
      <c r="BN132"/>
      <c r="BO132"/>
      <c r="BP132"/>
      <c r="CE132" s="257"/>
    </row>
    <row r="133" spans="2:84" s="256" customFormat="1" ht="15.75" x14ac:dyDescent="0.25">
      <c r="B133" s="254"/>
      <c r="E133" s="254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G133"/>
      <c r="BH133"/>
      <c r="BI133" s="10"/>
      <c r="BJ133"/>
      <c r="BK133"/>
      <c r="BL133"/>
      <c r="BM133"/>
      <c r="BN133"/>
      <c r="BO133"/>
      <c r="BP133"/>
      <c r="CE133" s="257"/>
    </row>
    <row r="134" spans="2:84" s="256" customFormat="1" ht="15.75" x14ac:dyDescent="0.25">
      <c r="B134" s="254"/>
      <c r="E134" s="25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G134"/>
      <c r="BH134"/>
      <c r="BI134" s="10"/>
      <c r="BJ134"/>
      <c r="BK134"/>
      <c r="BL134"/>
      <c r="BM134"/>
      <c r="BN134"/>
      <c r="BO134"/>
      <c r="BP134"/>
      <c r="CE134" s="257"/>
    </row>
    <row r="135" spans="2:84" s="256" customFormat="1" ht="15.75" x14ac:dyDescent="0.25">
      <c r="B135" s="254"/>
      <c r="E135" s="254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G135"/>
      <c r="BH135"/>
      <c r="BI135" s="10"/>
      <c r="BJ135"/>
      <c r="BK135"/>
      <c r="BL135"/>
      <c r="BM135"/>
      <c r="BN135"/>
      <c r="BO135"/>
      <c r="BP135"/>
      <c r="CE135" s="257"/>
    </row>
    <row r="136" spans="2:84" s="256" customFormat="1" ht="15.75" x14ac:dyDescent="0.25">
      <c r="B136" s="254"/>
      <c r="E136" s="254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G136"/>
      <c r="BH136"/>
      <c r="BI136" s="10"/>
      <c r="BJ136"/>
      <c r="BK136"/>
      <c r="BL136"/>
      <c r="BM136"/>
      <c r="BN136"/>
      <c r="BO136"/>
      <c r="BP136"/>
      <c r="CE136" s="257"/>
    </row>
    <row r="137" spans="2:84" s="256" customFormat="1" ht="15.75" x14ac:dyDescent="0.25">
      <c r="B137" s="254"/>
      <c r="E137" s="254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G137"/>
      <c r="BH137"/>
      <c r="BI137" s="10"/>
      <c r="BJ137"/>
      <c r="BK137"/>
      <c r="BL137"/>
      <c r="BM137"/>
      <c r="BN137"/>
      <c r="BO137"/>
      <c r="BP137"/>
      <c r="CE137" s="257"/>
    </row>
    <row r="138" spans="2:84" s="256" customFormat="1" ht="15.75" x14ac:dyDescent="0.25">
      <c r="B138" s="254"/>
      <c r="E138" s="254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G138"/>
      <c r="BH138"/>
      <c r="BI138" s="10"/>
      <c r="BJ138"/>
      <c r="BK138"/>
      <c r="BL138"/>
      <c r="BM138"/>
      <c r="BN138"/>
      <c r="BO138"/>
      <c r="BP138"/>
      <c r="CE138" s="257"/>
    </row>
    <row r="139" spans="2:84" s="256" customFormat="1" ht="15.75" x14ac:dyDescent="0.25">
      <c r="B139" s="254"/>
      <c r="E139" s="254"/>
      <c r="AP139" s="254"/>
      <c r="AR139" s="254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 s="254"/>
      <c r="BG139"/>
      <c r="BH139"/>
      <c r="BI139" s="10"/>
      <c r="BJ139"/>
      <c r="BK139"/>
      <c r="BL139"/>
      <c r="BM139"/>
      <c r="BN139"/>
      <c r="BO139"/>
      <c r="BP139"/>
      <c r="BQ139" s="254"/>
      <c r="CE139" s="257"/>
    </row>
    <row r="140" spans="2:84" ht="15.75" x14ac:dyDescent="0.25">
      <c r="S140" s="256"/>
      <c r="T140" s="256"/>
      <c r="V140" s="256"/>
      <c r="X140" s="256"/>
      <c r="Y140" s="256"/>
      <c r="Z140" s="256"/>
      <c r="AA140" s="256"/>
      <c r="AB140" s="256"/>
      <c r="AC140" s="256"/>
      <c r="AD140" s="256"/>
      <c r="AE140" s="256"/>
      <c r="AF140" s="256"/>
      <c r="AG140" s="256"/>
      <c r="AH140" s="256"/>
      <c r="AI140" s="256"/>
      <c r="AJ140" s="256"/>
      <c r="AK140" s="256"/>
      <c r="AL140" s="256"/>
      <c r="AM140" s="256"/>
      <c r="AN140" s="256"/>
      <c r="AO140" s="256"/>
      <c r="AQ140" s="256"/>
      <c r="BR140" s="256"/>
      <c r="BS140" s="256"/>
      <c r="BT140" s="256"/>
      <c r="BU140" s="256"/>
      <c r="BV140" s="256"/>
      <c r="BW140" s="256"/>
      <c r="BX140" s="256"/>
      <c r="BY140" s="256"/>
      <c r="BZ140" s="256"/>
      <c r="CA140" s="256"/>
      <c r="CB140" s="256"/>
      <c r="CC140" s="256"/>
      <c r="CD140" s="256"/>
      <c r="CE140" s="257"/>
      <c r="CF140" s="256"/>
    </row>
    <row r="141" spans="2:84" ht="15.75" x14ac:dyDescent="0.25">
      <c r="S141" s="256"/>
      <c r="T141" s="256"/>
      <c r="V141" s="256"/>
      <c r="X141" s="256"/>
      <c r="Y141" s="256"/>
      <c r="Z141" s="256"/>
      <c r="AA141" s="256"/>
      <c r="AB141" s="256"/>
      <c r="AC141" s="256"/>
      <c r="AD141" s="256"/>
      <c r="AE141" s="256"/>
      <c r="AF141" s="256"/>
      <c r="AG141" s="256"/>
      <c r="AH141" s="256"/>
      <c r="AI141" s="256"/>
      <c r="AJ141" s="256"/>
      <c r="AK141" s="256"/>
      <c r="AL141" s="256"/>
      <c r="AM141" s="256"/>
      <c r="AN141" s="256"/>
      <c r="BR141" s="256"/>
      <c r="BS141" s="256"/>
      <c r="BT141" s="256"/>
      <c r="BU141" s="256"/>
      <c r="CD141" s="256"/>
    </row>
    <row r="142" spans="2:84" ht="15.75" x14ac:dyDescent="0.25">
      <c r="Y142" s="256"/>
      <c r="Z142" s="256"/>
      <c r="AA142" s="256"/>
      <c r="AB142" s="256"/>
      <c r="AC142" s="256"/>
      <c r="AD142" s="256"/>
      <c r="AE142" s="256"/>
      <c r="AF142" s="256"/>
      <c r="AG142" s="256"/>
      <c r="AH142" s="256"/>
      <c r="AI142" s="256"/>
      <c r="AJ142" s="256"/>
      <c r="AK142" s="256"/>
      <c r="AL142" s="256"/>
      <c r="AM142" s="256"/>
      <c r="AN142" s="256"/>
      <c r="BR142" s="256"/>
      <c r="BS142" s="256"/>
      <c r="BT142" s="256"/>
      <c r="BU142" s="256"/>
      <c r="CD142" s="256"/>
    </row>
    <row r="143" spans="2:84" ht="15.75" x14ac:dyDescent="0.25">
      <c r="Y143" s="256"/>
      <c r="Z143" s="256"/>
      <c r="AA143" s="256"/>
      <c r="AB143" s="256"/>
      <c r="AC143" s="256"/>
      <c r="AD143" s="256"/>
      <c r="AE143" s="256"/>
      <c r="AF143" s="256"/>
      <c r="AG143" s="256"/>
      <c r="AH143" s="256"/>
      <c r="AI143" s="256"/>
      <c r="AJ143" s="256"/>
      <c r="AK143" s="256"/>
      <c r="AL143" s="256"/>
      <c r="AM143" s="256"/>
      <c r="BR143" s="256"/>
      <c r="BS143" s="256"/>
      <c r="BT143" s="256"/>
      <c r="BU143" s="256"/>
      <c r="CD143" s="256"/>
    </row>
    <row r="144" spans="2:84" ht="15.75" x14ac:dyDescent="0.25">
      <c r="Y144" s="256"/>
      <c r="Z144" s="256"/>
      <c r="AA144" s="256"/>
      <c r="AB144" s="256"/>
      <c r="AC144" s="256"/>
      <c r="AD144" s="256"/>
      <c r="AE144" s="256"/>
      <c r="AF144" s="256"/>
      <c r="AG144" s="256"/>
      <c r="AH144" s="256"/>
      <c r="AI144" s="256"/>
      <c r="AJ144" s="256"/>
      <c r="AK144" s="256"/>
      <c r="AL144" s="256"/>
      <c r="BR144" s="256"/>
      <c r="BS144" s="256"/>
      <c r="BT144" s="256"/>
      <c r="BU144" s="256"/>
      <c r="CD144" s="256"/>
    </row>
    <row r="145" spans="25:83" ht="15.75" x14ac:dyDescent="0.25">
      <c r="Y145" s="256"/>
      <c r="Z145" s="256"/>
      <c r="AA145" s="256"/>
      <c r="AB145" s="256"/>
      <c r="AC145" s="256"/>
      <c r="AD145" s="256"/>
      <c r="AE145" s="256"/>
      <c r="AF145" s="256"/>
      <c r="AG145" s="256"/>
      <c r="AH145" s="256"/>
      <c r="AI145" s="256"/>
      <c r="AJ145" s="256"/>
      <c r="AK145" s="256"/>
      <c r="AL145" s="256"/>
      <c r="AS145" s="254"/>
      <c r="AT145" s="254"/>
      <c r="AU145" s="254"/>
      <c r="AV145" s="254"/>
      <c r="AW145" s="254"/>
      <c r="AX145" s="254"/>
      <c r="AY145" s="254"/>
      <c r="AZ145" s="254"/>
      <c r="BA145" s="254"/>
      <c r="BB145" s="254"/>
      <c r="BC145" s="254"/>
      <c r="BD145" s="254"/>
      <c r="BE145" s="254"/>
      <c r="BG145" s="254"/>
      <c r="BH145" s="254"/>
      <c r="BI145" s="254"/>
      <c r="BJ145" s="254"/>
      <c r="BK145" s="254"/>
      <c r="BL145" s="254"/>
      <c r="BM145" s="254"/>
      <c r="BN145" s="254"/>
      <c r="BO145" s="254"/>
      <c r="BP145" s="254"/>
      <c r="BR145" s="256"/>
      <c r="BS145" s="256"/>
      <c r="BT145" s="256"/>
      <c r="BU145" s="256"/>
      <c r="CD145" s="256"/>
      <c r="CE145" s="254"/>
    </row>
    <row r="146" spans="25:83" ht="15.75" x14ac:dyDescent="0.25">
      <c r="Y146" s="256"/>
      <c r="Z146" s="256"/>
      <c r="AA146" s="256"/>
      <c r="AB146" s="256"/>
      <c r="AC146" s="256"/>
      <c r="AD146" s="256"/>
      <c r="AE146" s="256"/>
      <c r="AF146" s="256"/>
      <c r="AG146" s="256"/>
      <c r="AH146" s="256"/>
      <c r="AI146" s="256"/>
      <c r="AJ146" s="256"/>
      <c r="AK146" s="256"/>
      <c r="AL146" s="256"/>
      <c r="AS146" s="254"/>
      <c r="AT146" s="254"/>
      <c r="AU146" s="254"/>
      <c r="AV146" s="254"/>
      <c r="AW146" s="254"/>
      <c r="AX146" s="254"/>
      <c r="AY146" s="254"/>
      <c r="AZ146" s="254"/>
      <c r="BA146" s="254"/>
      <c r="BB146" s="254"/>
      <c r="BC146" s="254"/>
      <c r="BD146" s="254"/>
      <c r="BE146" s="254"/>
      <c r="BG146" s="254"/>
      <c r="BH146" s="254"/>
      <c r="BI146" s="254"/>
      <c r="BJ146" s="254"/>
      <c r="BK146" s="254"/>
      <c r="BL146" s="254"/>
      <c r="BM146" s="254"/>
      <c r="BN146" s="254"/>
      <c r="BO146" s="254"/>
      <c r="BP146" s="254"/>
      <c r="BR146" s="256"/>
      <c r="BS146" s="256"/>
      <c r="BT146" s="256"/>
      <c r="BU146" s="256"/>
      <c r="CD146" s="256"/>
      <c r="CE146" s="254"/>
    </row>
    <row r="147" spans="25:83" ht="15.75" x14ac:dyDescent="0.25">
      <c r="Y147" s="256"/>
      <c r="Z147" s="256"/>
      <c r="AA147" s="256"/>
      <c r="AB147" s="256"/>
      <c r="AC147" s="256"/>
      <c r="AD147" s="256"/>
      <c r="AE147" s="256"/>
      <c r="AF147" s="256"/>
      <c r="AG147" s="256"/>
      <c r="AH147" s="256"/>
      <c r="AI147" s="256"/>
      <c r="AJ147" s="256"/>
      <c r="AK147" s="256"/>
      <c r="AL147" s="256"/>
      <c r="AS147" s="254"/>
      <c r="AT147" s="254"/>
      <c r="AU147" s="254"/>
      <c r="AV147" s="254"/>
      <c r="AW147" s="254"/>
      <c r="AX147" s="254"/>
      <c r="AY147" s="254"/>
      <c r="AZ147" s="254"/>
      <c r="BA147" s="254"/>
      <c r="BB147" s="254"/>
      <c r="BC147" s="254"/>
      <c r="BD147" s="254"/>
      <c r="BE147" s="254"/>
      <c r="BG147" s="254"/>
      <c r="BH147" s="254"/>
      <c r="BI147" s="254"/>
      <c r="BJ147" s="254"/>
      <c r="BK147" s="254"/>
      <c r="BL147" s="254"/>
      <c r="BM147" s="254"/>
      <c r="BN147" s="254"/>
      <c r="BO147" s="254"/>
      <c r="BP147" s="254"/>
      <c r="BR147" s="256"/>
      <c r="BS147" s="256"/>
      <c r="BT147" s="256"/>
      <c r="BU147" s="256"/>
      <c r="CD147" s="256"/>
      <c r="CE147" s="254"/>
    </row>
    <row r="148" spans="25:83" ht="15.75" x14ac:dyDescent="0.25">
      <c r="Y148" s="256"/>
      <c r="Z148" s="256"/>
      <c r="AA148" s="256"/>
      <c r="AB148" s="256"/>
      <c r="AC148" s="256"/>
      <c r="AD148" s="256"/>
      <c r="AE148" s="256"/>
      <c r="AF148" s="256"/>
      <c r="AG148" s="256"/>
      <c r="AH148" s="256"/>
      <c r="AI148" s="256"/>
      <c r="AJ148" s="256"/>
      <c r="AK148" s="256"/>
      <c r="AL148" s="256"/>
      <c r="AS148" s="254"/>
      <c r="AT148" s="254"/>
      <c r="AU148" s="254"/>
      <c r="AV148" s="254"/>
      <c r="AW148" s="254"/>
      <c r="AX148" s="254"/>
      <c r="AY148" s="254"/>
      <c r="AZ148" s="254"/>
      <c r="BA148" s="254"/>
      <c r="BB148" s="254"/>
      <c r="BC148" s="254"/>
      <c r="BD148" s="254"/>
      <c r="BE148" s="254"/>
      <c r="BG148" s="254"/>
      <c r="BH148" s="254"/>
      <c r="BI148" s="254"/>
      <c r="BJ148" s="254"/>
      <c r="BK148" s="254"/>
      <c r="BL148" s="254"/>
      <c r="BM148" s="254"/>
      <c r="BN148" s="254"/>
      <c r="BO148" s="254"/>
      <c r="BP148" s="254"/>
      <c r="BR148" s="256"/>
      <c r="BS148" s="256"/>
      <c r="BT148" s="256"/>
      <c r="BU148" s="256"/>
      <c r="CD148" s="256"/>
      <c r="CE148" s="254"/>
    </row>
    <row r="149" spans="25:83" ht="15.75" x14ac:dyDescent="0.25">
      <c r="Y149" s="256"/>
      <c r="Z149" s="256"/>
      <c r="AA149" s="256"/>
      <c r="AB149" s="256"/>
      <c r="AC149" s="256"/>
      <c r="AD149" s="256"/>
      <c r="AE149" s="256"/>
      <c r="AF149" s="256"/>
      <c r="AG149" s="256"/>
      <c r="AH149" s="256"/>
      <c r="AI149" s="256"/>
      <c r="AJ149" s="256"/>
      <c r="AK149" s="256"/>
      <c r="AL149" s="256"/>
      <c r="AS149" s="254"/>
      <c r="AT149" s="254"/>
      <c r="AU149" s="254"/>
      <c r="AV149" s="254"/>
      <c r="AW149" s="254"/>
      <c r="AX149" s="254"/>
      <c r="AY149" s="254"/>
      <c r="AZ149" s="254"/>
      <c r="BA149" s="254"/>
      <c r="BB149" s="254"/>
      <c r="BC149" s="254"/>
      <c r="BD149" s="254"/>
      <c r="BE149" s="254"/>
      <c r="BG149" s="254"/>
      <c r="BH149" s="254"/>
      <c r="BI149" s="254"/>
      <c r="BJ149" s="254"/>
      <c r="BK149" s="254"/>
      <c r="BL149" s="254"/>
      <c r="BM149" s="254"/>
      <c r="BN149" s="254"/>
      <c r="BO149" s="254"/>
      <c r="BP149" s="254"/>
      <c r="BR149" s="256"/>
      <c r="BU149" s="256"/>
      <c r="CD149" s="256"/>
      <c r="CE149" s="254"/>
    </row>
    <row r="150" spans="25:83" ht="15.75" x14ac:dyDescent="0.25">
      <c r="Z150" s="256"/>
      <c r="AA150" s="256"/>
      <c r="AB150" s="256"/>
      <c r="AC150" s="256"/>
      <c r="AD150" s="256"/>
      <c r="AE150" s="256"/>
      <c r="AF150" s="256"/>
      <c r="AG150" s="256"/>
      <c r="AH150" s="256"/>
      <c r="AI150" s="256"/>
      <c r="AJ150" s="256"/>
      <c r="AK150" s="256"/>
      <c r="AL150" s="256"/>
      <c r="AS150" s="254"/>
      <c r="AT150" s="254"/>
      <c r="AU150" s="254"/>
      <c r="AV150" s="254"/>
      <c r="AW150" s="254"/>
      <c r="AX150" s="254"/>
      <c r="AY150" s="254"/>
      <c r="AZ150" s="254"/>
      <c r="BA150" s="254"/>
      <c r="BB150" s="254"/>
      <c r="BC150" s="254"/>
      <c r="BD150" s="254"/>
      <c r="BE150" s="254"/>
      <c r="BG150" s="254"/>
      <c r="BH150" s="254"/>
      <c r="BI150" s="254"/>
      <c r="BJ150" s="254"/>
      <c r="BK150" s="254"/>
      <c r="BL150" s="254"/>
      <c r="BM150" s="254"/>
      <c r="BN150" s="254"/>
      <c r="BO150" s="254"/>
      <c r="BP150" s="254"/>
      <c r="CE150" s="254"/>
    </row>
  </sheetData>
  <sheetProtection algorithmName="SHA-512" hashValue="MjwshF9YDbF9n1/EtIllnHzY6h5vNgqgILPo8Eh1Re7i10n8Jt2uI6HtcH1YndulU3p6BPC+GM35VCwBWW1+Lw==" saltValue="gCKi/MKiWXp0xuM+6z3r8g==" spinCount="100000" sheet="1" objects="1" scenarios="1"/>
  <sortState ref="FD33:FD99">
    <sortCondition ref="FD33"/>
  </sortState>
  <mergeCells count="8">
    <mergeCell ref="M7:M8"/>
    <mergeCell ref="M22:M23"/>
    <mergeCell ref="DE29:DF30"/>
    <mergeCell ref="CY29:CZ30"/>
    <mergeCell ref="CV29:CX30"/>
    <mergeCell ref="Z12:Z13"/>
    <mergeCell ref="AB12:AB13"/>
    <mergeCell ref="AE12:AE13"/>
  </mergeCells>
  <conditionalFormatting sqref="CF9:CF11 CF14 CE16:CF16 CF18 CF20">
    <cfRule type="cellIs" dxfId="16" priority="2" operator="notEqual">
      <formula>0</formula>
    </cfRule>
  </conditionalFormatting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3300"/>
  </sheetPr>
  <dimension ref="A1:T11"/>
  <sheetViews>
    <sheetView zoomScaleNormal="100" workbookViewId="0">
      <pane xSplit="2" ySplit="5" topLeftCell="C6" activePane="bottomRight" state="frozenSplit"/>
      <selection pane="topRight"/>
      <selection pane="bottomLeft"/>
      <selection pane="bottomRight"/>
    </sheetView>
  </sheetViews>
  <sheetFormatPr defaultColWidth="17.140625" defaultRowHeight="15" x14ac:dyDescent="0.25"/>
  <cols>
    <col min="1" max="1" width="22.7109375" bestFit="1" customWidth="1"/>
    <col min="2" max="2" width="6.7109375" customWidth="1"/>
    <col min="3" max="4" width="7" bestFit="1" customWidth="1"/>
    <col min="5" max="5" width="6" bestFit="1" customWidth="1"/>
    <col min="6" max="6" width="8.140625" customWidth="1"/>
    <col min="7" max="7" width="5" bestFit="1" customWidth="1"/>
    <col min="8" max="8" width="6.28515625" bestFit="1" customWidth="1"/>
    <col min="9" max="9" width="5" bestFit="1" customWidth="1"/>
    <col min="10" max="11" width="7" style="341" bestFit="1" customWidth="1"/>
    <col min="12" max="14" width="7" bestFit="1" customWidth="1"/>
    <col min="15" max="15" width="5.85546875" bestFit="1" customWidth="1"/>
    <col min="16" max="17" width="7" bestFit="1" customWidth="1"/>
    <col min="18" max="18" width="6" bestFit="1" customWidth="1"/>
    <col min="19" max="19" width="6.7109375" style="10" bestFit="1" customWidth="1"/>
    <col min="20" max="20" width="7.7109375" style="10" bestFit="1" customWidth="1"/>
  </cols>
  <sheetData>
    <row r="1" spans="1:20" ht="15.75" thickBot="1" x14ac:dyDescent="0.3">
      <c r="B1" s="357">
        <v>1</v>
      </c>
      <c r="C1" s="357">
        <v>2</v>
      </c>
      <c r="D1" s="357">
        <v>3</v>
      </c>
      <c r="E1" s="357">
        <v>4</v>
      </c>
      <c r="F1" s="357">
        <v>5</v>
      </c>
      <c r="G1" s="357">
        <v>6</v>
      </c>
      <c r="H1" s="357">
        <v>7</v>
      </c>
      <c r="I1" s="357">
        <v>8</v>
      </c>
      <c r="J1" s="357">
        <v>9</v>
      </c>
      <c r="K1" s="357">
        <v>10</v>
      </c>
      <c r="L1" s="357">
        <v>11</v>
      </c>
      <c r="M1" s="357">
        <v>12</v>
      </c>
      <c r="N1" s="357">
        <v>13</v>
      </c>
      <c r="O1" s="357">
        <v>14</v>
      </c>
      <c r="P1" s="357">
        <v>15</v>
      </c>
      <c r="Q1" s="357">
        <v>16</v>
      </c>
      <c r="R1" s="357">
        <v>17</v>
      </c>
      <c r="S1" s="357">
        <v>18</v>
      </c>
      <c r="T1" s="357">
        <v>19</v>
      </c>
    </row>
    <row r="2" spans="1:20" ht="15.75" thickBot="1" x14ac:dyDescent="0.3">
      <c r="A2" s="437"/>
      <c r="C2" s="356" t="s">
        <v>23</v>
      </c>
      <c r="D2" s="355"/>
      <c r="E2" s="355"/>
      <c r="F2" s="355"/>
      <c r="G2" s="355"/>
      <c r="H2" s="354"/>
      <c r="I2" s="354"/>
      <c r="J2" s="353" t="s">
        <v>416</v>
      </c>
      <c r="K2" s="352"/>
      <c r="L2" s="351" t="s">
        <v>415</v>
      </c>
      <c r="M2" s="350"/>
      <c r="N2" s="350"/>
      <c r="O2" s="350"/>
      <c r="P2" s="349" t="s">
        <v>414</v>
      </c>
      <c r="Q2" s="348"/>
      <c r="R2" s="348"/>
      <c r="S2" s="347" t="s">
        <v>413</v>
      </c>
      <c r="T2" s="346"/>
    </row>
    <row r="3" spans="1:20" s="343" customFormat="1" ht="36" x14ac:dyDescent="0.2">
      <c r="A3" s="343" t="s">
        <v>412</v>
      </c>
      <c r="B3" s="343" t="s">
        <v>411</v>
      </c>
      <c r="C3" s="343" t="s">
        <v>410</v>
      </c>
      <c r="D3" s="343" t="s">
        <v>409</v>
      </c>
      <c r="E3" s="343" t="s">
        <v>408</v>
      </c>
      <c r="F3" s="343" t="s">
        <v>407</v>
      </c>
      <c r="G3" s="343" t="s">
        <v>406</v>
      </c>
      <c r="H3" s="343" t="s">
        <v>405</v>
      </c>
      <c r="I3" s="343" t="s">
        <v>404</v>
      </c>
      <c r="J3" s="345" t="s">
        <v>403</v>
      </c>
      <c r="K3" s="345" t="s">
        <v>402</v>
      </c>
      <c r="L3" s="343" t="s">
        <v>93</v>
      </c>
      <c r="M3" s="343" t="s">
        <v>16</v>
      </c>
      <c r="N3" s="343" t="s">
        <v>401</v>
      </c>
      <c r="O3" s="343" t="s">
        <v>400</v>
      </c>
      <c r="P3" s="343" t="s">
        <v>399</v>
      </c>
      <c r="Q3" s="343" t="s">
        <v>398</v>
      </c>
      <c r="R3" s="343" t="s">
        <v>127</v>
      </c>
      <c r="S3" s="343" t="s">
        <v>397</v>
      </c>
      <c r="T3" s="343" t="s">
        <v>396</v>
      </c>
    </row>
    <row r="4" spans="1:20" x14ac:dyDescent="0.25">
      <c r="C4" s="343" t="s">
        <v>395</v>
      </c>
      <c r="D4" s="343" t="s">
        <v>395</v>
      </c>
      <c r="K4"/>
      <c r="L4" s="343" t="s">
        <v>395</v>
      </c>
      <c r="M4" s="343" t="s">
        <v>395</v>
      </c>
      <c r="N4" s="343" t="s">
        <v>395</v>
      </c>
      <c r="P4" s="343" t="s">
        <v>395</v>
      </c>
      <c r="Q4" s="343" t="s">
        <v>395</v>
      </c>
      <c r="S4" s="343" t="s">
        <v>395</v>
      </c>
      <c r="T4" s="343" t="s">
        <v>395</v>
      </c>
    </row>
    <row r="5" spans="1:20" s="343" customFormat="1" ht="12" x14ac:dyDescent="0.2">
      <c r="E5" s="343" t="s">
        <v>394</v>
      </c>
      <c r="F5" s="344">
        <v>41609</v>
      </c>
      <c r="G5" s="343" t="s">
        <v>394</v>
      </c>
      <c r="H5" s="343" t="s">
        <v>394</v>
      </c>
      <c r="J5" s="343" t="s">
        <v>394</v>
      </c>
      <c r="K5" s="343" t="s">
        <v>394</v>
      </c>
      <c r="L5" s="343" t="s">
        <v>394</v>
      </c>
      <c r="M5" s="343" t="s">
        <v>394</v>
      </c>
      <c r="N5" s="343" t="s">
        <v>394</v>
      </c>
      <c r="O5" s="343" t="s">
        <v>394</v>
      </c>
      <c r="S5" s="343" t="s">
        <v>394</v>
      </c>
      <c r="T5" s="343" t="s">
        <v>394</v>
      </c>
    </row>
    <row r="6" spans="1:20" s="276" customFormat="1" ht="12.75" x14ac:dyDescent="0.2">
      <c r="A6" s="409" t="s">
        <v>590</v>
      </c>
      <c r="B6" s="409" t="s">
        <v>593</v>
      </c>
      <c r="C6" s="410">
        <v>444.34</v>
      </c>
      <c r="D6" s="410">
        <v>462.68</v>
      </c>
      <c r="E6" s="411">
        <v>20.6</v>
      </c>
      <c r="F6" s="411">
        <v>8.32</v>
      </c>
      <c r="G6" s="411">
        <v>0.75</v>
      </c>
      <c r="H6" s="411">
        <v>5.76</v>
      </c>
      <c r="I6" s="411">
        <v>2.58</v>
      </c>
      <c r="J6" s="412">
        <v>5.3199999999999997E-2</v>
      </c>
      <c r="K6" s="412">
        <v>6.93E-2</v>
      </c>
      <c r="L6" s="410">
        <v>616.14</v>
      </c>
      <c r="M6" s="410">
        <v>80.290000000000006</v>
      </c>
      <c r="N6" s="410">
        <v>21.67</v>
      </c>
      <c r="O6" s="411">
        <v>1.01</v>
      </c>
      <c r="P6" s="410">
        <v>272.89</v>
      </c>
      <c r="Q6" s="410">
        <v>275</v>
      </c>
      <c r="R6" s="411">
        <v>4.6900000000000004</v>
      </c>
      <c r="S6" s="410">
        <v>39.700000000000003</v>
      </c>
      <c r="T6" s="410">
        <v>-53.21</v>
      </c>
    </row>
    <row r="7" spans="1:20" s="276" customFormat="1" ht="12.75" x14ac:dyDescent="0.2">
      <c r="A7" s="409" t="s">
        <v>591</v>
      </c>
      <c r="B7" s="409" t="s">
        <v>594</v>
      </c>
      <c r="C7" s="410">
        <v>2000</v>
      </c>
      <c r="D7" s="410">
        <v>4740</v>
      </c>
      <c r="E7" s="411">
        <v>11.74</v>
      </c>
      <c r="F7" s="411">
        <v>7.3</v>
      </c>
      <c r="G7" s="411">
        <v>0.61</v>
      </c>
      <c r="H7" s="411">
        <v>7.78</v>
      </c>
      <c r="I7" s="411">
        <v>2.2799999999999998</v>
      </c>
      <c r="J7" s="412">
        <v>4.3299999999999998E-2</v>
      </c>
      <c r="K7" s="412">
        <v>8.8800000000000004E-2</v>
      </c>
      <c r="L7" s="410">
        <v>3370</v>
      </c>
      <c r="M7" s="410">
        <v>608.79999999999995</v>
      </c>
      <c r="N7" s="410">
        <v>165.3</v>
      </c>
      <c r="O7" s="411">
        <v>2.13</v>
      </c>
      <c r="P7" s="410">
        <v>304.8</v>
      </c>
      <c r="Q7" s="410">
        <v>2980</v>
      </c>
      <c r="R7" s="411">
        <v>2.15</v>
      </c>
      <c r="S7" s="410">
        <v>180.9</v>
      </c>
      <c r="T7" s="410">
        <v>-890.24</v>
      </c>
    </row>
    <row r="8" spans="1:20" s="276" customFormat="1" ht="12.75" x14ac:dyDescent="0.2">
      <c r="A8" s="409" t="s">
        <v>592</v>
      </c>
      <c r="B8" s="409" t="s">
        <v>595</v>
      </c>
      <c r="C8" s="410">
        <v>246.46</v>
      </c>
      <c r="D8" s="410">
        <v>122.27</v>
      </c>
      <c r="E8" s="411">
        <v>15.5</v>
      </c>
      <c r="F8" s="411">
        <v>9.7200000000000006</v>
      </c>
      <c r="G8" s="411">
        <v>0.4</v>
      </c>
      <c r="H8" s="411">
        <v>3.96</v>
      </c>
      <c r="I8" s="411">
        <v>1.72</v>
      </c>
      <c r="J8" s="412">
        <v>3.95E-2</v>
      </c>
      <c r="K8" s="412">
        <v>7.9899999999999999E-2</v>
      </c>
      <c r="L8" s="410">
        <v>633.80999999999995</v>
      </c>
      <c r="M8" s="410">
        <v>30.87</v>
      </c>
      <c r="N8" s="410">
        <v>15.96</v>
      </c>
      <c r="O8" s="411">
        <v>1.33</v>
      </c>
      <c r="P8" s="410">
        <v>128.38999999999999</v>
      </c>
      <c r="Q8" s="410">
        <v>0</v>
      </c>
      <c r="R8" s="411">
        <v>2.6</v>
      </c>
      <c r="S8" s="410">
        <v>73.319999999999993</v>
      </c>
      <c r="T8" s="410">
        <v>58.57</v>
      </c>
    </row>
    <row r="9" spans="1:20" s="276" customFormat="1" ht="12.75" x14ac:dyDescent="0.2">
      <c r="A9" s="413" t="s">
        <v>562</v>
      </c>
      <c r="B9" s="413" t="s">
        <v>596</v>
      </c>
      <c r="C9" s="414">
        <v>500</v>
      </c>
      <c r="D9" s="414">
        <v>600</v>
      </c>
      <c r="E9" s="415">
        <v>8.75</v>
      </c>
      <c r="F9" s="415">
        <v>5.0999999999999996</v>
      </c>
      <c r="G9" s="415">
        <v>0.25</v>
      </c>
      <c r="H9" s="415">
        <v>4.45</v>
      </c>
      <c r="I9" s="415">
        <v>3.35</v>
      </c>
      <c r="J9" s="416">
        <v>4.5900000000000003E-2</v>
      </c>
      <c r="K9" s="416">
        <v>0.1061</v>
      </c>
      <c r="L9" s="414">
        <v>1290</v>
      </c>
      <c r="M9" s="414">
        <v>292</v>
      </c>
      <c r="N9" s="414">
        <v>71</v>
      </c>
      <c r="O9" s="415">
        <v>1.37</v>
      </c>
      <c r="P9" s="414">
        <v>40.67</v>
      </c>
      <c r="Q9" s="414">
        <v>420</v>
      </c>
      <c r="R9" s="415">
        <v>1.19</v>
      </c>
      <c r="S9" s="414">
        <v>16</v>
      </c>
      <c r="T9" s="414">
        <v>-32</v>
      </c>
    </row>
    <row r="10" spans="1:20" x14ac:dyDescent="0.25">
      <c r="T10"/>
    </row>
    <row r="11" spans="1:20" x14ac:dyDescent="0.25">
      <c r="B11" s="342"/>
      <c r="J11"/>
      <c r="K11"/>
      <c r="S11"/>
      <c r="T11"/>
    </row>
  </sheetData>
  <sheetProtection algorithmName="SHA-512" hashValue="KpydkHci0y9Uw4oyEnpP1Xo3/4GyGqCMDkOFBdZoQu6UaXPkNMjVduX3V+7g7VYWqtRO9hNPcGp7e4sDi/Gk4A==" saltValue="PSuB2NBTOFfKX7RFDxV3CA==" spinCount="100000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1:AF145"/>
  <sheetViews>
    <sheetView zoomScale="85" zoomScaleNormal="85" workbookViewId="0">
      <pane xSplit="2" ySplit="4" topLeftCell="C5" activePane="bottomRight" state="frozenSplit"/>
      <selection pane="topRight"/>
      <selection pane="bottomLeft"/>
      <selection pane="bottomRight"/>
    </sheetView>
  </sheetViews>
  <sheetFormatPr defaultRowHeight="15" outlineLevelRow="1" x14ac:dyDescent="0.25"/>
  <cols>
    <col min="1" max="1" width="6.140625" customWidth="1"/>
    <col min="2" max="2" width="28.140625" customWidth="1"/>
    <col min="3" max="3" width="4.140625" style="2" customWidth="1"/>
    <col min="4" max="4" width="11" bestFit="1" customWidth="1"/>
    <col min="5" max="5" width="10.42578125" bestFit="1" customWidth="1"/>
    <col min="6" max="6" width="11" bestFit="1" customWidth="1"/>
    <col min="7" max="7" width="9.85546875" bestFit="1" customWidth="1"/>
    <col min="8" max="8" width="9.85546875" style="36" bestFit="1" customWidth="1"/>
    <col min="9" max="9" width="9" bestFit="1" customWidth="1"/>
    <col min="10" max="11" width="8.7109375" customWidth="1"/>
    <col min="12" max="12" width="9" bestFit="1" customWidth="1"/>
    <col min="13" max="17" width="9.85546875" style="36" bestFit="1" customWidth="1"/>
    <col min="18" max="18" width="9.85546875" bestFit="1" customWidth="1"/>
    <col min="20" max="20" width="8.85546875" customWidth="1"/>
  </cols>
  <sheetData>
    <row r="1" spans="1:32" x14ac:dyDescent="0.25">
      <c r="A1" s="31" t="s">
        <v>536</v>
      </c>
      <c r="H1"/>
      <c r="M1"/>
      <c r="N1"/>
      <c r="O1"/>
      <c r="P1"/>
      <c r="Q1"/>
    </row>
    <row r="2" spans="1:32" ht="15.75" thickBot="1" x14ac:dyDescent="0.3">
      <c r="A2" s="31" t="s">
        <v>0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  <c r="R2" s="21" t="s">
        <v>443</v>
      </c>
    </row>
    <row r="3" spans="1:32" ht="15.75" thickBot="1" x14ac:dyDescent="0.3">
      <c r="C3" s="6" t="s">
        <v>1</v>
      </c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21"/>
    </row>
    <row r="4" spans="1:32" s="417" customFormat="1" x14ac:dyDescent="0.25">
      <c r="D4" s="418"/>
      <c r="E4" s="418"/>
      <c r="F4" s="418"/>
      <c r="G4" s="421" t="s">
        <v>474</v>
      </c>
      <c r="H4" s="419">
        <v>0.27515672184170098</v>
      </c>
      <c r="I4" s="419">
        <v>0.5244717903348517</v>
      </c>
      <c r="J4" s="419">
        <v>0.77104713280060511</v>
      </c>
      <c r="K4" s="419">
        <v>1.023101927321153</v>
      </c>
      <c r="L4" s="419">
        <v>1.275156721841701</v>
      </c>
      <c r="M4" s="419">
        <v>1.275156721841701</v>
      </c>
      <c r="N4" s="419">
        <v>2.275156721841701</v>
      </c>
      <c r="O4" s="419">
        <v>3.275156721841701</v>
      </c>
      <c r="P4" s="419">
        <v>4.2778964478690984</v>
      </c>
      <c r="Q4" s="419">
        <v>5.2778964478690984</v>
      </c>
      <c r="R4" s="419">
        <v>6.2778964478690984</v>
      </c>
      <c r="S4" s="419">
        <v>7.2778964478690984</v>
      </c>
      <c r="T4" s="419">
        <v>8.2778964478690984</v>
      </c>
      <c r="U4" s="419">
        <v>9.2778964478690984</v>
      </c>
      <c r="V4" s="419">
        <v>10.277896447869098</v>
      </c>
      <c r="W4" s="419">
        <v>11.277896447869098</v>
      </c>
      <c r="X4" s="419">
        <v>12.277896447869098</v>
      </c>
      <c r="Y4" s="419">
        <v>13.277896447869098</v>
      </c>
      <c r="Z4" s="419">
        <v>14.277896447869098</v>
      </c>
      <c r="AA4" s="419">
        <v>15.277896447869098</v>
      </c>
      <c r="AB4" s="420"/>
      <c r="AC4" s="420"/>
      <c r="AD4" s="420"/>
      <c r="AE4" s="420"/>
      <c r="AF4" s="420"/>
    </row>
    <row r="5" spans="1:32" s="14" customFormat="1" x14ac:dyDescent="0.25">
      <c r="A5" s="14" t="s">
        <v>2</v>
      </c>
      <c r="C5" s="15">
        <f>SUM(D5:Q5)-SUM(D6:Q8)</f>
        <v>0</v>
      </c>
      <c r="D5" s="16">
        <f t="shared" ref="D5:Q5" si="0">SUM(D6:D8)</f>
        <v>611456</v>
      </c>
      <c r="E5" s="16">
        <f t="shared" si="0"/>
        <v>374046</v>
      </c>
      <c r="F5" s="16">
        <f t="shared" si="0"/>
        <v>242936</v>
      </c>
      <c r="G5" s="16">
        <f t="shared" si="0"/>
        <v>688040.5</v>
      </c>
      <c r="H5" s="16">
        <f t="shared" si="0"/>
        <v>995761.36118841497</v>
      </c>
      <c r="I5" s="16">
        <f t="shared" si="0"/>
        <v>248174.4851563923</v>
      </c>
      <c r="J5" s="16">
        <f t="shared" si="0"/>
        <v>248174.4851563923</v>
      </c>
      <c r="K5" s="16">
        <f t="shared" si="0"/>
        <v>248174.4851563923</v>
      </c>
      <c r="L5" s="16">
        <f t="shared" si="0"/>
        <v>248174.4851563923</v>
      </c>
      <c r="M5" s="16">
        <f t="shared" si="0"/>
        <v>992697.9406255692</v>
      </c>
      <c r="N5" s="16">
        <f t="shared" si="0"/>
        <v>1135356.4698469841</v>
      </c>
      <c r="O5" s="16">
        <f t="shared" si="0"/>
        <v>1175758.1284583295</v>
      </c>
      <c r="P5" s="16">
        <f t="shared" si="0"/>
        <v>1146099.0993041701</v>
      </c>
      <c r="Q5" s="16">
        <f t="shared" si="0"/>
        <v>821768.71368227911</v>
      </c>
      <c r="R5" s="21"/>
    </row>
    <row r="6" spans="1:32" s="14" customFormat="1" hidden="1" outlineLevel="1" x14ac:dyDescent="0.25">
      <c r="B6" s="14" t="s">
        <v>544</v>
      </c>
      <c r="C6" s="17">
        <f>SUM(Biz1pl!D5:Q5)-SUM(D6:Q6)</f>
        <v>0</v>
      </c>
      <c r="D6" s="18">
        <f>Biz1pl!D5</f>
        <v>400939</v>
      </c>
      <c r="E6" s="18">
        <f>Biz1pl!E5</f>
        <v>229083</v>
      </c>
      <c r="F6" s="18">
        <f>Biz1pl!F5</f>
        <v>161309</v>
      </c>
      <c r="G6" s="18">
        <f>Biz1pl!G5</f>
        <v>598905.5</v>
      </c>
      <c r="H6" s="18">
        <f>Biz1pl!H5</f>
        <v>870658.12</v>
      </c>
      <c r="I6" s="18">
        <f>Biz1pl!I5</f>
        <v>213496.41063</v>
      </c>
      <c r="J6" s="18">
        <f>Biz1pl!J5</f>
        <v>213496.41063</v>
      </c>
      <c r="K6" s="18">
        <f>Biz1pl!K5</f>
        <v>213496.41063</v>
      </c>
      <c r="L6" s="18">
        <f>Biz1pl!L5</f>
        <v>213496.41063</v>
      </c>
      <c r="M6" s="18">
        <f>Biz1pl!M5</f>
        <v>853985.64251999999</v>
      </c>
      <c r="N6" s="18">
        <f>Biz1pl!N5</f>
        <v>992948.46754574112</v>
      </c>
      <c r="O6" s="18">
        <f>Biz1pl!O5</f>
        <v>1029545.0003627623</v>
      </c>
      <c r="P6" s="18">
        <f>Biz1pl!P5</f>
        <v>999885.97120860277</v>
      </c>
      <c r="Q6" s="18">
        <f>Biz1pl!Q5</f>
        <v>675555.58558671176</v>
      </c>
      <c r="R6" s="21"/>
    </row>
    <row r="7" spans="1:32" s="14" customFormat="1" hidden="1" outlineLevel="1" x14ac:dyDescent="0.25">
      <c r="B7" s="14" t="s">
        <v>545</v>
      </c>
      <c r="C7" s="17">
        <f>SUM(Biz2pl!D5:Q5)-SUM(D7:Q7)</f>
        <v>0</v>
      </c>
      <c r="D7" s="18">
        <f>Biz2pl!D5</f>
        <v>209873</v>
      </c>
      <c r="E7" s="18">
        <f>Biz2pl!E5</f>
        <v>143868</v>
      </c>
      <c r="F7" s="18">
        <f>Biz2pl!F5</f>
        <v>80734</v>
      </c>
      <c r="G7" s="18">
        <f>Biz2pl!G5</f>
        <v>88535</v>
      </c>
      <c r="H7" s="18">
        <f>Biz2pl!H5</f>
        <v>124787</v>
      </c>
      <c r="I7" s="18">
        <f>Biz2pl!I5</f>
        <v>34555.021887524745</v>
      </c>
      <c r="J7" s="18">
        <f>Biz2pl!J5</f>
        <v>34555.021887524745</v>
      </c>
      <c r="K7" s="18">
        <f>Biz2pl!K5</f>
        <v>34555.021887524745</v>
      </c>
      <c r="L7" s="18">
        <f>Biz2pl!L5</f>
        <v>34555.021887524745</v>
      </c>
      <c r="M7" s="18">
        <f>Biz2pl!M5</f>
        <v>138220.08755009898</v>
      </c>
      <c r="N7" s="18">
        <f>Biz2pl!N5</f>
        <v>141852.95460371629</v>
      </c>
      <c r="O7" s="18">
        <f>Biz2pl!O5</f>
        <v>145399.27846880918</v>
      </c>
      <c r="P7" s="18">
        <f>Biz2pl!P5</f>
        <v>145399.27846880918</v>
      </c>
      <c r="Q7" s="18">
        <f>Biz2pl!Q5</f>
        <v>145399.27846880918</v>
      </c>
      <c r="R7" s="21"/>
    </row>
    <row r="8" spans="1:32" s="14" customFormat="1" hidden="1" outlineLevel="1" x14ac:dyDescent="0.25">
      <c r="B8" s="14" t="s">
        <v>546</v>
      </c>
      <c r="C8" s="17">
        <f>SUM(CORPpl!D5:Q5)-SUM(D8:Q8)</f>
        <v>0</v>
      </c>
      <c r="D8" s="18">
        <f>CORPpl!D5</f>
        <v>644</v>
      </c>
      <c r="E8" s="18">
        <f>CORPpl!E5</f>
        <v>1095</v>
      </c>
      <c r="F8" s="18">
        <f>CORPpl!F5</f>
        <v>893</v>
      </c>
      <c r="G8" s="18">
        <f>CORPpl!G5</f>
        <v>600</v>
      </c>
      <c r="H8" s="18">
        <f>CORPpl!H5</f>
        <v>316.24118841497773</v>
      </c>
      <c r="I8" s="18">
        <f>CORPpl!I5</f>
        <v>123.0526388675615</v>
      </c>
      <c r="J8" s="18">
        <f>CORPpl!J5</f>
        <v>123.0526388675615</v>
      </c>
      <c r="K8" s="18">
        <f>CORPpl!K5</f>
        <v>123.0526388675615</v>
      </c>
      <c r="L8" s="18">
        <f>CORPpl!L5</f>
        <v>123.0526388675615</v>
      </c>
      <c r="M8" s="18">
        <f>CORPpl!M5</f>
        <v>492.21055547024599</v>
      </c>
      <c r="N8" s="18">
        <f>CORPpl!N5</f>
        <v>555.04769752674724</v>
      </c>
      <c r="O8" s="18">
        <f>CORPpl!O5</f>
        <v>813.84962675811391</v>
      </c>
      <c r="P8" s="18">
        <f>CORPpl!P5</f>
        <v>813.84962675811391</v>
      </c>
      <c r="Q8" s="18">
        <f>CORPpl!Q5</f>
        <v>813.84962675811391</v>
      </c>
      <c r="R8" s="21"/>
    </row>
    <row r="9" spans="1:32" s="19" customFormat="1" hidden="1" outlineLevel="1" x14ac:dyDescent="0.25">
      <c r="C9" s="2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1"/>
    </row>
    <row r="10" spans="1:32" s="14" customFormat="1" collapsed="1" x14ac:dyDescent="0.25">
      <c r="B10" s="14" t="s">
        <v>3</v>
      </c>
      <c r="C10" s="15">
        <f>SUM(D10:Q10)-SUM(D11:Q13)</f>
        <v>0</v>
      </c>
      <c r="D10" s="16">
        <f t="shared" ref="D10:Q10" si="1">SUM(D11:D13)</f>
        <v>602346.5</v>
      </c>
      <c r="E10" s="16">
        <f t="shared" si="1"/>
        <v>386821</v>
      </c>
      <c r="F10" s="16">
        <f t="shared" si="1"/>
        <v>230243</v>
      </c>
      <c r="G10" s="16">
        <f t="shared" si="1"/>
        <v>641732</v>
      </c>
      <c r="H10" s="16">
        <f t="shared" si="1"/>
        <v>915309.58129999996</v>
      </c>
      <c r="I10" s="16">
        <f t="shared" si="1"/>
        <v>228764.70106968499</v>
      </c>
      <c r="J10" s="16">
        <f t="shared" si="1"/>
        <v>228764.70106968499</v>
      </c>
      <c r="K10" s="16">
        <f t="shared" si="1"/>
        <v>228764.70106968499</v>
      </c>
      <c r="L10" s="16">
        <f t="shared" si="1"/>
        <v>228764.70106968499</v>
      </c>
      <c r="M10" s="16">
        <f t="shared" si="1"/>
        <v>915058.80427873996</v>
      </c>
      <c r="N10" s="16">
        <f t="shared" si="1"/>
        <v>1043428.2667850639</v>
      </c>
      <c r="O10" s="16">
        <f t="shared" si="1"/>
        <v>1079508.9098766253</v>
      </c>
      <c r="P10" s="16">
        <f t="shared" si="1"/>
        <v>1051712.8813309092</v>
      </c>
      <c r="Q10" s="16">
        <f t="shared" si="1"/>
        <v>752091.91917688306</v>
      </c>
      <c r="R10" s="21"/>
    </row>
    <row r="11" spans="1:32" s="14" customFormat="1" hidden="1" outlineLevel="1" x14ac:dyDescent="0.25">
      <c r="B11" s="14" t="s">
        <v>544</v>
      </c>
      <c r="C11" s="17">
        <f>SUM(Biz1pl!D6:Q6)-SUM(D11:Q11)</f>
        <v>0</v>
      </c>
      <c r="D11" s="18">
        <f>Biz1pl!D6</f>
        <v>403769</v>
      </c>
      <c r="E11" s="18">
        <f>Biz1pl!E6</f>
        <v>256093</v>
      </c>
      <c r="F11" s="18">
        <f>Biz1pl!F6</f>
        <v>161351</v>
      </c>
      <c r="G11" s="18">
        <f>Biz1pl!G6</f>
        <v>563940</v>
      </c>
      <c r="H11" s="18">
        <f>Biz1pl!H6</f>
        <v>800692.58129999996</v>
      </c>
      <c r="I11" s="18">
        <f>Biz1pl!I6</f>
        <v>197227.73449785</v>
      </c>
      <c r="J11" s="18">
        <f>Biz1pl!J6</f>
        <v>197227.73449785</v>
      </c>
      <c r="K11" s="18">
        <f>Biz1pl!K6</f>
        <v>197227.73449785</v>
      </c>
      <c r="L11" s="18">
        <f>Biz1pl!L6</f>
        <v>197227.73449785</v>
      </c>
      <c r="M11" s="18">
        <f>Biz1pl!M6</f>
        <v>788910.93799140002</v>
      </c>
      <c r="N11" s="18">
        <f>Biz1pl!N6</f>
        <v>913975.94370540534</v>
      </c>
      <c r="O11" s="18">
        <f>Biz1pl!O6</f>
        <v>946820.27871997526</v>
      </c>
      <c r="P11" s="18">
        <f>Biz1pl!P6</f>
        <v>919024.25017425907</v>
      </c>
      <c r="Q11" s="18">
        <f>Biz1pl!Q6</f>
        <v>619403.28802023304</v>
      </c>
      <c r="R11" s="21"/>
    </row>
    <row r="12" spans="1:32" s="14" customFormat="1" hidden="1" outlineLevel="1" x14ac:dyDescent="0.25">
      <c r="B12" s="14" t="s">
        <v>545</v>
      </c>
      <c r="C12" s="17">
        <f>SUM(Biz2pl!D6:Q6)-SUM(D12:Q12)</f>
        <v>0</v>
      </c>
      <c r="D12" s="18">
        <f>Biz2pl!D6</f>
        <v>198972</v>
      </c>
      <c r="E12" s="18">
        <f>Biz2pl!E6</f>
        <v>131166</v>
      </c>
      <c r="F12" s="18">
        <f>Biz2pl!F6</f>
        <v>69329</v>
      </c>
      <c r="G12" s="18">
        <f>Biz2pl!G6</f>
        <v>78283</v>
      </c>
      <c r="H12" s="18">
        <f>Biz2pl!H6</f>
        <v>114899</v>
      </c>
      <c r="I12" s="18">
        <f>Biz2pl!I6</f>
        <v>31536.96657183499</v>
      </c>
      <c r="J12" s="18">
        <f>Biz2pl!J6</f>
        <v>31536.96657183499</v>
      </c>
      <c r="K12" s="18">
        <f>Biz2pl!K6</f>
        <v>31536.96657183499</v>
      </c>
      <c r="L12" s="18">
        <f>Biz2pl!L6</f>
        <v>31536.96657183499</v>
      </c>
      <c r="M12" s="18">
        <f>Biz2pl!M6</f>
        <v>126147.86628733996</v>
      </c>
      <c r="N12" s="18">
        <f>Biz2pl!N6</f>
        <v>129452.32307965856</v>
      </c>
      <c r="O12" s="18">
        <f>Biz2pl!O6</f>
        <v>132688.63115665002</v>
      </c>
      <c r="P12" s="18">
        <f>Biz2pl!P6</f>
        <v>132688.63115665002</v>
      </c>
      <c r="Q12" s="18">
        <f>Biz2pl!Q6</f>
        <v>132688.63115665002</v>
      </c>
      <c r="R12" s="21"/>
    </row>
    <row r="13" spans="1:32" s="14" customFormat="1" hidden="1" outlineLevel="1" x14ac:dyDescent="0.25">
      <c r="B13" s="14" t="s">
        <v>546</v>
      </c>
      <c r="C13" s="17">
        <f>SUM(CORPpl!D6:Q6)-SUM(D13:Q13)</f>
        <v>0</v>
      </c>
      <c r="D13" s="18">
        <f>CORPpl!D6</f>
        <v>-394.5</v>
      </c>
      <c r="E13" s="18">
        <f>CORPpl!E6</f>
        <v>-438</v>
      </c>
      <c r="F13" s="18">
        <f>CORPpl!F6</f>
        <v>-437</v>
      </c>
      <c r="G13" s="18">
        <f>CORPpl!G6</f>
        <v>-491</v>
      </c>
      <c r="H13" s="18">
        <f>CORPpl!H6</f>
        <v>-282</v>
      </c>
      <c r="I13" s="18">
        <f>CORPpl!I6</f>
        <v>0</v>
      </c>
      <c r="J13" s="18">
        <f>CORPpl!J6</f>
        <v>0</v>
      </c>
      <c r="K13" s="18">
        <f>CORPpl!K6</f>
        <v>0</v>
      </c>
      <c r="L13" s="18">
        <f>CORPpl!L6</f>
        <v>0</v>
      </c>
      <c r="M13" s="18">
        <f>CORPpl!M6</f>
        <v>0</v>
      </c>
      <c r="N13" s="18">
        <f>CORPpl!N6</f>
        <v>0</v>
      </c>
      <c r="O13" s="18">
        <f>CORPpl!O6</f>
        <v>0</v>
      </c>
      <c r="P13" s="18">
        <f>CORPpl!P6</f>
        <v>0</v>
      </c>
      <c r="Q13" s="18">
        <f>CORPpl!Q6</f>
        <v>0</v>
      </c>
      <c r="R13" s="21"/>
    </row>
    <row r="14" spans="1:32" s="14" customFormat="1" hidden="1" outlineLevel="1" x14ac:dyDescent="0.25">
      <c r="C14" s="2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32" s="19" customFormat="1" collapsed="1" x14ac:dyDescent="0.25">
      <c r="A15" s="19" t="s">
        <v>4</v>
      </c>
      <c r="C15" s="15">
        <f>SUM(D15:Q15)-SUM(D16:Q18)</f>
        <v>0</v>
      </c>
      <c r="D15" s="22">
        <f t="shared" ref="D15:Q15" si="2">SUM(D16:D18)</f>
        <v>9109.5</v>
      </c>
      <c r="E15" s="22">
        <f t="shared" si="2"/>
        <v>-12775</v>
      </c>
      <c r="F15" s="22">
        <f t="shared" si="2"/>
        <v>12693</v>
      </c>
      <c r="G15" s="22">
        <f t="shared" si="2"/>
        <v>46308.5</v>
      </c>
      <c r="H15" s="22">
        <f t="shared" si="2"/>
        <v>80451.779888415011</v>
      </c>
      <c r="I15" s="22">
        <f t="shared" si="2"/>
        <v>19409.78408670731</v>
      </c>
      <c r="J15" s="22">
        <f t="shared" si="2"/>
        <v>19409.78408670731</v>
      </c>
      <c r="K15" s="22">
        <f t="shared" si="2"/>
        <v>19409.78408670731</v>
      </c>
      <c r="L15" s="22">
        <f t="shared" si="2"/>
        <v>19409.78408670731</v>
      </c>
      <c r="M15" s="22">
        <f t="shared" si="2"/>
        <v>77639.13634682924</v>
      </c>
      <c r="N15" s="22">
        <f t="shared" si="2"/>
        <v>91928.203061920271</v>
      </c>
      <c r="O15" s="22">
        <f t="shared" si="2"/>
        <v>96249.218581704248</v>
      </c>
      <c r="P15" s="22">
        <f t="shared" si="2"/>
        <v>94386.217973260966</v>
      </c>
      <c r="Q15" s="22">
        <f t="shared" si="2"/>
        <v>69676.794505395985</v>
      </c>
      <c r="R15" s="21"/>
    </row>
    <row r="16" spans="1:32" s="19" customFormat="1" hidden="1" outlineLevel="1" x14ac:dyDescent="0.25">
      <c r="B16" s="19" t="s">
        <v>544</v>
      </c>
      <c r="C16" s="17">
        <f>SUM(Biz1pl!D7:Q7)-SUM(D16:Q16)</f>
        <v>0</v>
      </c>
      <c r="D16" s="20">
        <f t="shared" ref="D16:Q16" si="3">D6-D11</f>
        <v>-2830</v>
      </c>
      <c r="E16" s="20">
        <f t="shared" si="3"/>
        <v>-27010</v>
      </c>
      <c r="F16" s="20">
        <f t="shared" si="3"/>
        <v>-42</v>
      </c>
      <c r="G16" s="20">
        <f t="shared" si="3"/>
        <v>34965.5</v>
      </c>
      <c r="H16" s="20">
        <f t="shared" si="3"/>
        <v>69965.538700000034</v>
      </c>
      <c r="I16" s="20">
        <f t="shared" si="3"/>
        <v>16268.676132149994</v>
      </c>
      <c r="J16" s="20">
        <f t="shared" si="3"/>
        <v>16268.676132149994</v>
      </c>
      <c r="K16" s="20">
        <f t="shared" si="3"/>
        <v>16268.676132149994</v>
      </c>
      <c r="L16" s="20">
        <f t="shared" si="3"/>
        <v>16268.676132149994</v>
      </c>
      <c r="M16" s="20">
        <f t="shared" si="3"/>
        <v>65074.704528599977</v>
      </c>
      <c r="N16" s="20">
        <f t="shared" si="3"/>
        <v>78972.52384033578</v>
      </c>
      <c r="O16" s="20">
        <f t="shared" si="3"/>
        <v>82724.721642786986</v>
      </c>
      <c r="P16" s="20">
        <f t="shared" si="3"/>
        <v>80861.721034343704</v>
      </c>
      <c r="Q16" s="20">
        <f t="shared" si="3"/>
        <v>56152.297566478723</v>
      </c>
      <c r="R16" s="21"/>
    </row>
    <row r="17" spans="1:18" s="19" customFormat="1" hidden="1" outlineLevel="1" x14ac:dyDescent="0.25">
      <c r="B17" s="19" t="s">
        <v>545</v>
      </c>
      <c r="C17" s="17">
        <f>SUM(Biz2pl!D7:Q7)-SUM(D17:Q17)</f>
        <v>0</v>
      </c>
      <c r="D17" s="20">
        <f t="shared" ref="D17:Q17" si="4">D7-D12</f>
        <v>10901</v>
      </c>
      <c r="E17" s="20">
        <f t="shared" si="4"/>
        <v>12702</v>
      </c>
      <c r="F17" s="20">
        <f t="shared" si="4"/>
        <v>11405</v>
      </c>
      <c r="G17" s="20">
        <f t="shared" si="4"/>
        <v>10252</v>
      </c>
      <c r="H17" s="20">
        <f t="shared" si="4"/>
        <v>9888</v>
      </c>
      <c r="I17" s="20">
        <f t="shared" si="4"/>
        <v>3018.0553156897549</v>
      </c>
      <c r="J17" s="20">
        <f t="shared" si="4"/>
        <v>3018.0553156897549</v>
      </c>
      <c r="K17" s="20">
        <f t="shared" si="4"/>
        <v>3018.0553156897549</v>
      </c>
      <c r="L17" s="20">
        <f t="shared" si="4"/>
        <v>3018.0553156897549</v>
      </c>
      <c r="M17" s="20">
        <f t="shared" si="4"/>
        <v>12072.22126275902</v>
      </c>
      <c r="N17" s="20">
        <f t="shared" si="4"/>
        <v>12400.631524057739</v>
      </c>
      <c r="O17" s="20">
        <f t="shared" si="4"/>
        <v>12710.647312159155</v>
      </c>
      <c r="P17" s="20">
        <f t="shared" si="4"/>
        <v>12710.647312159155</v>
      </c>
      <c r="Q17" s="20">
        <f t="shared" si="4"/>
        <v>12710.647312159155</v>
      </c>
      <c r="R17" s="21"/>
    </row>
    <row r="18" spans="1:18" s="19" customFormat="1" hidden="1" outlineLevel="1" x14ac:dyDescent="0.25">
      <c r="B18" s="19" t="s">
        <v>546</v>
      </c>
      <c r="C18" s="17">
        <f>SUM(CORPpl!D7:Q7)-SUM(D18:Q18)</f>
        <v>0</v>
      </c>
      <c r="D18" s="20">
        <f t="shared" ref="D18:Q18" si="5">D8-D13</f>
        <v>1038.5</v>
      </c>
      <c r="E18" s="20">
        <f t="shared" si="5"/>
        <v>1533</v>
      </c>
      <c r="F18" s="20">
        <f t="shared" si="5"/>
        <v>1330</v>
      </c>
      <c r="G18" s="20">
        <f t="shared" si="5"/>
        <v>1091</v>
      </c>
      <c r="H18" s="20">
        <f t="shared" si="5"/>
        <v>598.24118841497773</v>
      </c>
      <c r="I18" s="20">
        <f t="shared" si="5"/>
        <v>123.0526388675615</v>
      </c>
      <c r="J18" s="20">
        <f t="shared" si="5"/>
        <v>123.0526388675615</v>
      </c>
      <c r="K18" s="20">
        <f t="shared" si="5"/>
        <v>123.0526388675615</v>
      </c>
      <c r="L18" s="20">
        <f t="shared" si="5"/>
        <v>123.0526388675615</v>
      </c>
      <c r="M18" s="20">
        <f t="shared" si="5"/>
        <v>492.21055547024599</v>
      </c>
      <c r="N18" s="20">
        <f t="shared" si="5"/>
        <v>555.04769752674724</v>
      </c>
      <c r="O18" s="20">
        <f t="shared" si="5"/>
        <v>813.84962675811391</v>
      </c>
      <c r="P18" s="20">
        <f t="shared" si="5"/>
        <v>813.84962675811391</v>
      </c>
      <c r="Q18" s="20">
        <f t="shared" si="5"/>
        <v>813.84962675811391</v>
      </c>
      <c r="R18" s="21"/>
    </row>
    <row r="19" spans="1:18" s="19" customFormat="1" hidden="1" outlineLevel="1" x14ac:dyDescent="0.25">
      <c r="C19" s="2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s="23" customFormat="1" collapsed="1" x14ac:dyDescent="0.25">
      <c r="A20" s="23" t="s">
        <v>5</v>
      </c>
      <c r="C20" s="15">
        <f t="shared" ref="C20:Q20" si="6">IF(ISERROR(C15/C5),0,C15/C5)</f>
        <v>0</v>
      </c>
      <c r="D20" s="24">
        <f t="shared" si="6"/>
        <v>1.4898046629683902E-2</v>
      </c>
      <c r="E20" s="24">
        <f t="shared" si="6"/>
        <v>-3.415355330627784E-2</v>
      </c>
      <c r="F20" s="24">
        <f t="shared" si="6"/>
        <v>5.224832877794975E-2</v>
      </c>
      <c r="G20" s="24">
        <f t="shared" si="6"/>
        <v>6.7304904289791079E-2</v>
      </c>
      <c r="H20" s="24">
        <f t="shared" si="6"/>
        <v>8.0794237479146533E-2</v>
      </c>
      <c r="I20" s="24">
        <f t="shared" si="6"/>
        <v>7.8210232105350525E-2</v>
      </c>
      <c r="J20" s="24">
        <f t="shared" si="6"/>
        <v>7.8210232105350525E-2</v>
      </c>
      <c r="K20" s="24">
        <f t="shared" si="6"/>
        <v>7.8210232105350525E-2</v>
      </c>
      <c r="L20" s="24">
        <f t="shared" si="6"/>
        <v>7.8210232105350525E-2</v>
      </c>
      <c r="M20" s="24">
        <f t="shared" si="6"/>
        <v>7.8210232105350525E-2</v>
      </c>
      <c r="N20" s="24">
        <f t="shared" si="6"/>
        <v>8.0968581677532292E-2</v>
      </c>
      <c r="O20" s="24">
        <f t="shared" si="6"/>
        <v>8.186141031226174E-2</v>
      </c>
      <c r="P20" s="24">
        <f t="shared" si="6"/>
        <v>8.2354325232927558E-2</v>
      </c>
      <c r="Q20" s="24">
        <f t="shared" si="6"/>
        <v>8.4788813866105844E-2</v>
      </c>
      <c r="R20" s="21"/>
    </row>
    <row r="21" spans="1:18" s="23" customFormat="1" hidden="1" outlineLevel="1" x14ac:dyDescent="0.25">
      <c r="B21" s="23" t="s">
        <v>544</v>
      </c>
      <c r="C21" s="17">
        <f>SUM(Biz1pl!D8:Q8)-SUM(D21:Q21)</f>
        <v>0</v>
      </c>
      <c r="D21" s="23">
        <f t="shared" ref="D21:Q21" si="7">IF(ISERROR(D16/D6),0,D16/D6)</f>
        <v>-7.0584303347890828E-3</v>
      </c>
      <c r="E21" s="23">
        <f t="shared" si="7"/>
        <v>-0.11790486417586639</v>
      </c>
      <c r="F21" s="23">
        <f t="shared" si="7"/>
        <v>-2.6036984917146593E-4</v>
      </c>
      <c r="G21" s="23">
        <f t="shared" si="7"/>
        <v>5.838233243808915E-2</v>
      </c>
      <c r="H21" s="23">
        <f t="shared" si="7"/>
        <v>8.0359370794129886E-2</v>
      </c>
      <c r="I21" s="23">
        <f t="shared" si="7"/>
        <v>7.6201169303705185E-2</v>
      </c>
      <c r="J21" s="23">
        <f t="shared" si="7"/>
        <v>7.6201169303705185E-2</v>
      </c>
      <c r="K21" s="23">
        <f t="shared" si="7"/>
        <v>7.6201169303705185E-2</v>
      </c>
      <c r="L21" s="23">
        <f t="shared" si="7"/>
        <v>7.6201169303705185E-2</v>
      </c>
      <c r="M21" s="23">
        <f t="shared" si="7"/>
        <v>7.6201169303705185E-2</v>
      </c>
      <c r="N21" s="23">
        <f t="shared" si="7"/>
        <v>7.9533355880523418E-2</v>
      </c>
      <c r="O21" s="23">
        <f t="shared" si="7"/>
        <v>8.0350758455083326E-2</v>
      </c>
      <c r="P21" s="23">
        <f t="shared" si="7"/>
        <v>8.0870942650193262E-2</v>
      </c>
      <c r="Q21" s="23">
        <f t="shared" si="7"/>
        <v>8.312017362377537E-2</v>
      </c>
      <c r="R21" s="21"/>
    </row>
    <row r="22" spans="1:18" s="23" customFormat="1" hidden="1" outlineLevel="1" x14ac:dyDescent="0.25">
      <c r="B22" s="23" t="s">
        <v>545</v>
      </c>
      <c r="C22" s="17">
        <f>SUM(Biz2pl!D8:Q8)-SUM(D22:Q22)</f>
        <v>0</v>
      </c>
      <c r="D22" s="23">
        <f t="shared" ref="D22:Q22" si="8">IF(ISERROR(D17/D7),0,D17/D7)</f>
        <v>5.1940935708738138E-2</v>
      </c>
      <c r="E22" s="23">
        <f t="shared" si="8"/>
        <v>8.8289265159729749E-2</v>
      </c>
      <c r="F22" s="23">
        <f t="shared" si="8"/>
        <v>0.14126638095474026</v>
      </c>
      <c r="G22" s="23">
        <f t="shared" si="8"/>
        <v>0.11579601287626362</v>
      </c>
      <c r="H22" s="23">
        <f t="shared" si="8"/>
        <v>7.9239023295695862E-2</v>
      </c>
      <c r="I22" s="23">
        <f t="shared" si="8"/>
        <v>8.734057022198996E-2</v>
      </c>
      <c r="J22" s="23">
        <f t="shared" si="8"/>
        <v>8.734057022198996E-2</v>
      </c>
      <c r="K22" s="23">
        <f t="shared" si="8"/>
        <v>8.734057022198996E-2</v>
      </c>
      <c r="L22" s="23">
        <f t="shared" si="8"/>
        <v>8.734057022198996E-2</v>
      </c>
      <c r="M22" s="23">
        <f t="shared" si="8"/>
        <v>8.734057022198996E-2</v>
      </c>
      <c r="N22" s="23">
        <f t="shared" si="8"/>
        <v>8.7418916008485198E-2</v>
      </c>
      <c r="O22" s="23">
        <f t="shared" si="8"/>
        <v>8.7418916008485031E-2</v>
      </c>
      <c r="P22" s="23">
        <f t="shared" si="8"/>
        <v>8.7418916008485031E-2</v>
      </c>
      <c r="Q22" s="23">
        <f t="shared" si="8"/>
        <v>8.7418916008485031E-2</v>
      </c>
      <c r="R22" s="21"/>
    </row>
    <row r="23" spans="1:18" s="23" customFormat="1" hidden="1" outlineLevel="1" x14ac:dyDescent="0.25">
      <c r="B23" s="23" t="s">
        <v>546</v>
      </c>
      <c r="C23" s="17">
        <f>SUM(CORPpl!D8:Q8)-SUM(D23:Q23)</f>
        <v>0</v>
      </c>
      <c r="D23" s="23">
        <f t="shared" ref="D23:Q23" si="9">IF(ISERROR(D18/D8),0,D18/D8)</f>
        <v>1.6125776397515528</v>
      </c>
      <c r="E23" s="23">
        <f t="shared" si="9"/>
        <v>1.4</v>
      </c>
      <c r="F23" s="23">
        <f t="shared" si="9"/>
        <v>1.4893617021276595</v>
      </c>
      <c r="G23" s="23">
        <f t="shared" si="9"/>
        <v>1.8183333333333334</v>
      </c>
      <c r="H23" s="23">
        <f t="shared" si="9"/>
        <v>1.8917244506112665</v>
      </c>
      <c r="I23" s="23">
        <f t="shared" si="9"/>
        <v>1</v>
      </c>
      <c r="J23" s="23">
        <f t="shared" si="9"/>
        <v>1</v>
      </c>
      <c r="K23" s="23">
        <f t="shared" si="9"/>
        <v>1</v>
      </c>
      <c r="L23" s="23">
        <f t="shared" si="9"/>
        <v>1</v>
      </c>
      <c r="M23" s="23">
        <f t="shared" si="9"/>
        <v>1</v>
      </c>
      <c r="N23" s="23">
        <f t="shared" si="9"/>
        <v>1</v>
      </c>
      <c r="O23" s="23">
        <f t="shared" si="9"/>
        <v>1</v>
      </c>
      <c r="P23" s="23">
        <f t="shared" si="9"/>
        <v>1</v>
      </c>
      <c r="Q23" s="23">
        <f t="shared" si="9"/>
        <v>1</v>
      </c>
      <c r="R23" s="21"/>
    </row>
    <row r="24" spans="1:18" s="23" customFormat="1" hidden="1" outlineLevel="1" x14ac:dyDescent="0.25">
      <c r="C24" s="25"/>
      <c r="R24" s="21"/>
    </row>
    <row r="25" spans="1:18" s="14" customFormat="1" collapsed="1" x14ac:dyDescent="0.25">
      <c r="B25" s="14" t="s">
        <v>6</v>
      </c>
      <c r="C25" s="15">
        <f>SUM(D25:Q25)-SUM(D26:Q28)</f>
        <v>0</v>
      </c>
      <c r="D25" s="16">
        <f t="shared" ref="D25:Q25" si="10">SUM(D26:D28)</f>
        <v>55996.417999999998</v>
      </c>
      <c r="E25" s="16">
        <f t="shared" si="10"/>
        <v>44240.400999999998</v>
      </c>
      <c r="F25" s="16">
        <f t="shared" si="10"/>
        <v>51817.595999999998</v>
      </c>
      <c r="G25" s="16">
        <f t="shared" si="10"/>
        <v>53927.935001374455</v>
      </c>
      <c r="H25" s="16">
        <f t="shared" si="10"/>
        <v>63714.540868629512</v>
      </c>
      <c r="I25" s="16">
        <f t="shared" si="10"/>
        <v>18298.415222333395</v>
      </c>
      <c r="J25" s="16">
        <f t="shared" si="10"/>
        <v>18298.415222333395</v>
      </c>
      <c r="K25" s="16">
        <f t="shared" si="10"/>
        <v>18298.415222333395</v>
      </c>
      <c r="L25" s="16">
        <f t="shared" si="10"/>
        <v>18298.415222333395</v>
      </c>
      <c r="M25" s="16">
        <f t="shared" si="10"/>
        <v>73193.66088933358</v>
      </c>
      <c r="N25" s="16">
        <f t="shared" si="10"/>
        <v>79638.452460647532</v>
      </c>
      <c r="O25" s="16">
        <f t="shared" si="10"/>
        <v>83214.082671308221</v>
      </c>
      <c r="P25" s="16">
        <f t="shared" si="10"/>
        <v>83673.634629304914</v>
      </c>
      <c r="Q25" s="16">
        <f t="shared" si="10"/>
        <v>79139.07392197533</v>
      </c>
      <c r="R25" s="21"/>
    </row>
    <row r="26" spans="1:18" s="14" customFormat="1" hidden="1" outlineLevel="1" x14ac:dyDescent="0.25">
      <c r="B26" s="14" t="s">
        <v>544</v>
      </c>
      <c r="C26" s="17">
        <f>SUM(Biz1pl!D9:Q9)-SUM(D26:Q26)</f>
        <v>0</v>
      </c>
      <c r="D26" s="18">
        <f>Biz1pl!D9</f>
        <v>15433.586000000001</v>
      </c>
      <c r="E26" s="18">
        <f>Biz1pl!E9</f>
        <v>5691.0020000000004</v>
      </c>
      <c r="F26" s="18">
        <f>Biz1pl!F9</f>
        <v>11385.722</v>
      </c>
      <c r="G26" s="18">
        <f>Biz1pl!G9</f>
        <v>18558.953001374459</v>
      </c>
      <c r="H26" s="18">
        <f>Biz1pl!H9</f>
        <v>24344.818868629511</v>
      </c>
      <c r="I26" s="18">
        <f>Biz1pl!I9</f>
        <v>6667.1061813333927</v>
      </c>
      <c r="J26" s="18">
        <f>Biz1pl!J9</f>
        <v>6667.1061813333927</v>
      </c>
      <c r="K26" s="18">
        <f>Biz1pl!K9</f>
        <v>6667.1061813333927</v>
      </c>
      <c r="L26" s="18">
        <f>Biz1pl!L9</f>
        <v>6667.1061813333927</v>
      </c>
      <c r="M26" s="18">
        <f>Biz1pl!M9</f>
        <v>26668.424725333571</v>
      </c>
      <c r="N26" s="18">
        <f>Biz1pl!N9</f>
        <v>29648.581910577523</v>
      </c>
      <c r="O26" s="18">
        <f>Biz1pl!O9</f>
        <v>30757.232895620815</v>
      </c>
      <c r="P26" s="18">
        <f>Biz1pl!P9</f>
        <v>31216.784853617501</v>
      </c>
      <c r="Q26" s="18">
        <f>Biz1pl!Q9</f>
        <v>26682.224146287925</v>
      </c>
      <c r="R26" s="21"/>
    </row>
    <row r="27" spans="1:18" s="14" customFormat="1" hidden="1" outlineLevel="1" x14ac:dyDescent="0.25">
      <c r="B27" s="14" t="s">
        <v>545</v>
      </c>
      <c r="C27" s="17">
        <f>SUM(Biz2pl!D9:Q9)-SUM(D27:Q27)</f>
        <v>0</v>
      </c>
      <c r="D27" s="18">
        <f>Biz2pl!D9</f>
        <v>8415.0110000000004</v>
      </c>
      <c r="E27" s="18">
        <f>Biz2pl!E9</f>
        <v>7380.4480000000003</v>
      </c>
      <c r="F27" s="18">
        <f>Biz2pl!F9</f>
        <v>6990.5599999999995</v>
      </c>
      <c r="G27" s="18">
        <f>Biz2pl!G9</f>
        <v>8331.2000000000007</v>
      </c>
      <c r="H27" s="18">
        <f>Biz2pl!H9</f>
        <v>8458.56</v>
      </c>
      <c r="I27" s="18">
        <f>Biz2pl!I9</f>
        <v>2316.6023999999998</v>
      </c>
      <c r="J27" s="18">
        <f>Biz2pl!J9</f>
        <v>2316.6023999999998</v>
      </c>
      <c r="K27" s="18">
        <f>Biz2pl!K9</f>
        <v>2316.6023999999998</v>
      </c>
      <c r="L27" s="18">
        <f>Biz2pl!L9</f>
        <v>2316.6023999999998</v>
      </c>
      <c r="M27" s="18">
        <f>Biz2pl!M9</f>
        <v>9266.409599999999</v>
      </c>
      <c r="N27" s="18">
        <f>Biz2pl!N9</f>
        <v>9710.7268800000002</v>
      </c>
      <c r="O27" s="18">
        <f>Biz2pl!O9</f>
        <v>10177.260024000001</v>
      </c>
      <c r="P27" s="18">
        <f>Biz2pl!P9</f>
        <v>10177.260024000001</v>
      </c>
      <c r="Q27" s="18">
        <f>Biz2pl!Q9</f>
        <v>10177.260024000001</v>
      </c>
      <c r="R27" s="21"/>
    </row>
    <row r="28" spans="1:18" s="14" customFormat="1" hidden="1" outlineLevel="1" x14ac:dyDescent="0.25">
      <c r="B28" s="14" t="s">
        <v>546</v>
      </c>
      <c r="C28" s="17">
        <f>SUM(CORPpl!D9:Q9)-SUM(D28:Q28)</f>
        <v>0</v>
      </c>
      <c r="D28" s="18">
        <f>CORPpl!D9</f>
        <v>32147.820999999996</v>
      </c>
      <c r="E28" s="18">
        <f>CORPpl!E9</f>
        <v>31168.951000000001</v>
      </c>
      <c r="F28" s="18">
        <f>CORPpl!F9</f>
        <v>33441.313999999998</v>
      </c>
      <c r="G28" s="18">
        <f>CORPpl!G9</f>
        <v>27037.781999999999</v>
      </c>
      <c r="H28" s="18">
        <f>CORPpl!H9</f>
        <v>30911.162000000004</v>
      </c>
      <c r="I28" s="18">
        <f>CORPpl!I9</f>
        <v>9314.7066410000007</v>
      </c>
      <c r="J28" s="18">
        <f>CORPpl!J9</f>
        <v>9314.7066410000007</v>
      </c>
      <c r="K28" s="18">
        <f>CORPpl!K9</f>
        <v>9314.7066410000007</v>
      </c>
      <c r="L28" s="18">
        <f>CORPpl!L9</f>
        <v>9314.7066410000007</v>
      </c>
      <c r="M28" s="18">
        <f>CORPpl!M9</f>
        <v>37258.826564000003</v>
      </c>
      <c r="N28" s="18">
        <f>CORPpl!N9</f>
        <v>40279.14367007</v>
      </c>
      <c r="O28" s="18">
        <f>CORPpl!O9</f>
        <v>42279.58975168741</v>
      </c>
      <c r="P28" s="18">
        <f>CORPpl!P9</f>
        <v>42279.58975168741</v>
      </c>
      <c r="Q28" s="18">
        <f>CORPpl!Q9</f>
        <v>42279.58975168741</v>
      </c>
      <c r="R28" s="21"/>
    </row>
    <row r="29" spans="1:18" s="14" customFormat="1" hidden="1" outlineLevel="1" x14ac:dyDescent="0.25">
      <c r="C29" s="2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19" customFormat="1" collapsed="1" x14ac:dyDescent="0.25">
      <c r="A30" s="19" t="s">
        <v>16</v>
      </c>
      <c r="C30" s="15">
        <f>SUM(D30:Q30)-SUM(D31:Q33)</f>
        <v>0</v>
      </c>
      <c r="D30" s="22">
        <f t="shared" ref="D30:Q30" si="11">SUM(D31:D33)</f>
        <v>-46886.917999999998</v>
      </c>
      <c r="E30" s="22">
        <f t="shared" si="11"/>
        <v>-57015.400999999998</v>
      </c>
      <c r="F30" s="22">
        <f t="shared" si="11"/>
        <v>-39124.595999999998</v>
      </c>
      <c r="G30" s="22">
        <f t="shared" si="11"/>
        <v>-7619.4350013744588</v>
      </c>
      <c r="H30" s="22">
        <f t="shared" si="11"/>
        <v>16737.239019785498</v>
      </c>
      <c r="I30" s="22">
        <f t="shared" si="11"/>
        <v>1111.3688643739169</v>
      </c>
      <c r="J30" s="22">
        <f t="shared" si="11"/>
        <v>1111.3688643739169</v>
      </c>
      <c r="K30" s="22">
        <f t="shared" si="11"/>
        <v>1111.3688643739169</v>
      </c>
      <c r="L30" s="22">
        <f t="shared" si="11"/>
        <v>1111.3688643739169</v>
      </c>
      <c r="M30" s="22">
        <f t="shared" si="11"/>
        <v>4445.4754574956678</v>
      </c>
      <c r="N30" s="22">
        <f t="shared" si="11"/>
        <v>12289.750601272739</v>
      </c>
      <c r="O30" s="22">
        <f t="shared" si="11"/>
        <v>13035.135910396028</v>
      </c>
      <c r="P30" s="22">
        <f t="shared" si="11"/>
        <v>10712.583343956059</v>
      </c>
      <c r="Q30" s="22">
        <f t="shared" si="11"/>
        <v>-9462.2794165793457</v>
      </c>
      <c r="R30" s="21"/>
    </row>
    <row r="31" spans="1:18" s="19" customFormat="1" hidden="1" outlineLevel="1" x14ac:dyDescent="0.25">
      <c r="B31" s="19" t="s">
        <v>544</v>
      </c>
      <c r="C31" s="17">
        <f>SUM(Biz1pl!D10:Q10)-SUM(D31:Q31)</f>
        <v>0</v>
      </c>
      <c r="D31" s="20">
        <f>D16-D26</f>
        <v>-18263.586000000003</v>
      </c>
      <c r="E31" s="20">
        <f t="shared" ref="E31:Q31" si="12">E16-E26</f>
        <v>-32701.002</v>
      </c>
      <c r="F31" s="20">
        <f t="shared" si="12"/>
        <v>-11427.722</v>
      </c>
      <c r="G31" s="20">
        <f t="shared" si="12"/>
        <v>16406.546998625541</v>
      </c>
      <c r="H31" s="20">
        <f t="shared" si="12"/>
        <v>45620.719831370523</v>
      </c>
      <c r="I31" s="20">
        <f t="shared" si="12"/>
        <v>9601.5699508166017</v>
      </c>
      <c r="J31" s="20">
        <f t="shared" si="12"/>
        <v>9601.5699508166017</v>
      </c>
      <c r="K31" s="20">
        <f t="shared" si="12"/>
        <v>9601.5699508166017</v>
      </c>
      <c r="L31" s="20">
        <f t="shared" si="12"/>
        <v>9601.5699508166017</v>
      </c>
      <c r="M31" s="20">
        <f t="shared" si="12"/>
        <v>38406.279803266407</v>
      </c>
      <c r="N31" s="20">
        <f t="shared" si="12"/>
        <v>49323.941929758257</v>
      </c>
      <c r="O31" s="20">
        <f t="shared" si="12"/>
        <v>51967.488747166171</v>
      </c>
      <c r="P31" s="20">
        <f t="shared" si="12"/>
        <v>49644.936180726203</v>
      </c>
      <c r="Q31" s="20">
        <f t="shared" si="12"/>
        <v>29470.073420190798</v>
      </c>
      <c r="R31" s="21"/>
    </row>
    <row r="32" spans="1:18" s="19" customFormat="1" hidden="1" outlineLevel="1" x14ac:dyDescent="0.25">
      <c r="B32" s="19" t="s">
        <v>545</v>
      </c>
      <c r="C32" s="17">
        <f>SUM(Biz2pl!D10:Q10)-SUM(D32:Q32)</f>
        <v>0</v>
      </c>
      <c r="D32" s="20">
        <f t="shared" ref="D32:Q32" si="13">D17-D27</f>
        <v>2485.9889999999996</v>
      </c>
      <c r="E32" s="20">
        <f t="shared" si="13"/>
        <v>5321.5519999999997</v>
      </c>
      <c r="F32" s="20">
        <f t="shared" si="13"/>
        <v>4414.4400000000005</v>
      </c>
      <c r="G32" s="20">
        <f t="shared" si="13"/>
        <v>1920.7999999999993</v>
      </c>
      <c r="H32" s="20">
        <f t="shared" si="13"/>
        <v>1429.4400000000005</v>
      </c>
      <c r="I32" s="20">
        <f t="shared" si="13"/>
        <v>701.45291568975517</v>
      </c>
      <c r="J32" s="20">
        <f t="shared" si="13"/>
        <v>701.45291568975517</v>
      </c>
      <c r="K32" s="20">
        <f t="shared" si="13"/>
        <v>701.45291568975517</v>
      </c>
      <c r="L32" s="20">
        <f t="shared" si="13"/>
        <v>701.45291568975517</v>
      </c>
      <c r="M32" s="20">
        <f t="shared" si="13"/>
        <v>2805.8116627590207</v>
      </c>
      <c r="N32" s="20">
        <f t="shared" si="13"/>
        <v>2689.9046440577386</v>
      </c>
      <c r="O32" s="20">
        <f t="shared" si="13"/>
        <v>2533.3872881591542</v>
      </c>
      <c r="P32" s="20">
        <f t="shared" si="13"/>
        <v>2533.3872881591542</v>
      </c>
      <c r="Q32" s="20">
        <f t="shared" si="13"/>
        <v>2533.3872881591542</v>
      </c>
      <c r="R32" s="21"/>
    </row>
    <row r="33" spans="1:20" s="19" customFormat="1" hidden="1" outlineLevel="1" x14ac:dyDescent="0.25">
      <c r="B33" s="19" t="s">
        <v>546</v>
      </c>
      <c r="C33" s="17">
        <f>SUM(CORPpl!D10:Q10)-SUM(D33:Q33)</f>
        <v>0</v>
      </c>
      <c r="D33" s="20">
        <f t="shared" ref="D33:Q33" si="14">D18-D28</f>
        <v>-31109.320999999996</v>
      </c>
      <c r="E33" s="20">
        <f t="shared" si="14"/>
        <v>-29635.951000000001</v>
      </c>
      <c r="F33" s="20">
        <f t="shared" si="14"/>
        <v>-32111.313999999998</v>
      </c>
      <c r="G33" s="20">
        <f t="shared" si="14"/>
        <v>-25946.781999999999</v>
      </c>
      <c r="H33" s="20">
        <f t="shared" si="14"/>
        <v>-30312.920811585027</v>
      </c>
      <c r="I33" s="20">
        <f t="shared" si="14"/>
        <v>-9191.6540021324399</v>
      </c>
      <c r="J33" s="20">
        <f t="shared" si="14"/>
        <v>-9191.6540021324399</v>
      </c>
      <c r="K33" s="20">
        <f t="shared" si="14"/>
        <v>-9191.6540021324399</v>
      </c>
      <c r="L33" s="20">
        <f t="shared" si="14"/>
        <v>-9191.6540021324399</v>
      </c>
      <c r="M33" s="20">
        <f t="shared" si="14"/>
        <v>-36766.61600852976</v>
      </c>
      <c r="N33" s="20">
        <f t="shared" si="14"/>
        <v>-39724.095972543255</v>
      </c>
      <c r="O33" s="20">
        <f t="shared" si="14"/>
        <v>-41465.740124929296</v>
      </c>
      <c r="P33" s="20">
        <f t="shared" si="14"/>
        <v>-41465.740124929296</v>
      </c>
      <c r="Q33" s="20">
        <f t="shared" si="14"/>
        <v>-41465.740124929296</v>
      </c>
      <c r="R33" s="21"/>
    </row>
    <row r="34" spans="1:20" s="19" customFormat="1" hidden="1" outlineLevel="1" x14ac:dyDescent="0.25">
      <c r="C34" s="2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20" s="14" customFormat="1" collapsed="1" x14ac:dyDescent="0.25">
      <c r="B35" s="14" t="s">
        <v>479</v>
      </c>
      <c r="C35" s="15">
        <f>SUM(D35:Q35)-SUM(D36:Q38)</f>
        <v>0</v>
      </c>
      <c r="D35" s="16">
        <f t="shared" ref="D35:Q35" si="15">SUM(D36:D38)</f>
        <v>2302</v>
      </c>
      <c r="E35" s="16">
        <f t="shared" si="15"/>
        <v>55667</v>
      </c>
      <c r="F35" s="16">
        <f t="shared" si="15"/>
        <v>-11870.047</v>
      </c>
      <c r="G35" s="16">
        <f t="shared" si="15"/>
        <v>0</v>
      </c>
      <c r="H35" s="16">
        <f t="shared" si="15"/>
        <v>0</v>
      </c>
      <c r="I35" s="16">
        <f t="shared" si="15"/>
        <v>0</v>
      </c>
      <c r="J35" s="16">
        <f t="shared" si="15"/>
        <v>0</v>
      </c>
      <c r="K35" s="16">
        <f t="shared" si="15"/>
        <v>0</v>
      </c>
      <c r="L35" s="16">
        <f t="shared" si="15"/>
        <v>0</v>
      </c>
      <c r="M35" s="16">
        <f t="shared" si="15"/>
        <v>0</v>
      </c>
      <c r="N35" s="16">
        <f t="shared" si="15"/>
        <v>0</v>
      </c>
      <c r="O35" s="16">
        <f t="shared" si="15"/>
        <v>0</v>
      </c>
      <c r="P35" s="16">
        <f t="shared" si="15"/>
        <v>0</v>
      </c>
      <c r="Q35" s="16">
        <f t="shared" si="15"/>
        <v>0</v>
      </c>
      <c r="R35" s="21"/>
    </row>
    <row r="36" spans="1:20" s="14" customFormat="1" hidden="1" outlineLevel="1" x14ac:dyDescent="0.25">
      <c r="B36" s="14" t="s">
        <v>544</v>
      </c>
      <c r="C36" s="17">
        <f>SUM(Biz1pl!D11:Q11)-SUM(D36:Q36)</f>
        <v>0</v>
      </c>
      <c r="D36" s="18">
        <f>Biz1pl!D11</f>
        <v>0</v>
      </c>
      <c r="E36" s="18">
        <f>Biz1pl!E11</f>
        <v>0</v>
      </c>
      <c r="F36" s="18">
        <f>Biz1pl!F11</f>
        <v>0</v>
      </c>
      <c r="G36" s="18">
        <f>Biz1pl!G11</f>
        <v>0</v>
      </c>
      <c r="H36" s="18">
        <f>Biz1pl!H11</f>
        <v>0</v>
      </c>
      <c r="I36" s="18">
        <f>Biz1pl!I11</f>
        <v>0</v>
      </c>
      <c r="J36" s="18">
        <f>Biz1pl!J11</f>
        <v>0</v>
      </c>
      <c r="K36" s="18">
        <f>Biz1pl!K11</f>
        <v>0</v>
      </c>
      <c r="L36" s="18">
        <f>Biz1pl!L11</f>
        <v>0</v>
      </c>
      <c r="M36" s="18">
        <f>Biz1pl!M11</f>
        <v>0</v>
      </c>
      <c r="N36" s="18">
        <f>Biz1pl!N11</f>
        <v>0</v>
      </c>
      <c r="O36" s="18">
        <f>Biz1pl!O11</f>
        <v>0</v>
      </c>
      <c r="P36" s="18">
        <f>Biz1pl!P11</f>
        <v>0</v>
      </c>
      <c r="Q36" s="18">
        <f>Biz1pl!Q11</f>
        <v>0</v>
      </c>
      <c r="R36" s="21"/>
    </row>
    <row r="37" spans="1:20" s="14" customFormat="1" hidden="1" outlineLevel="1" x14ac:dyDescent="0.25">
      <c r="B37" s="14" t="s">
        <v>545</v>
      </c>
      <c r="C37" s="17">
        <f>SUM(Biz2pl!D11:Q11)-SUM(D37:Q37)</f>
        <v>0</v>
      </c>
      <c r="D37" s="18">
        <f>Biz2pl!D11</f>
        <v>0</v>
      </c>
      <c r="E37" s="18">
        <f>Biz2pl!E11</f>
        <v>0</v>
      </c>
      <c r="F37" s="18">
        <f>Biz2pl!F11</f>
        <v>0</v>
      </c>
      <c r="G37" s="18">
        <f>Biz2pl!G11</f>
        <v>0</v>
      </c>
      <c r="H37" s="18">
        <f>Biz2pl!H11</f>
        <v>0</v>
      </c>
      <c r="I37" s="18">
        <f>Biz2pl!I11</f>
        <v>0</v>
      </c>
      <c r="J37" s="18">
        <f>Biz2pl!J11</f>
        <v>0</v>
      </c>
      <c r="K37" s="18">
        <f>Biz2pl!K11</f>
        <v>0</v>
      </c>
      <c r="L37" s="18">
        <f>Biz2pl!L11</f>
        <v>0</v>
      </c>
      <c r="M37" s="18">
        <f>Biz2pl!M11</f>
        <v>0</v>
      </c>
      <c r="N37" s="18">
        <f>Biz2pl!N11</f>
        <v>0</v>
      </c>
      <c r="O37" s="18">
        <f>Biz2pl!O11</f>
        <v>0</v>
      </c>
      <c r="P37" s="18">
        <f>Biz2pl!P11</f>
        <v>0</v>
      </c>
      <c r="Q37" s="18">
        <f>Biz2pl!Q11</f>
        <v>0</v>
      </c>
      <c r="R37" s="21"/>
    </row>
    <row r="38" spans="1:20" s="26" customFormat="1" hidden="1" outlineLevel="1" x14ac:dyDescent="0.25">
      <c r="B38" s="26" t="s">
        <v>546</v>
      </c>
      <c r="C38" s="17">
        <f>SUM(CORPpl!D11:Q11)-SUM(D38:Q38)</f>
        <v>0</v>
      </c>
      <c r="D38" s="18">
        <f>CORPpl!D11</f>
        <v>2302</v>
      </c>
      <c r="E38" s="18">
        <f>CORPpl!E11</f>
        <v>55667</v>
      </c>
      <c r="F38" s="18">
        <f>CORPpl!F11</f>
        <v>-11870.047</v>
      </c>
      <c r="G38" s="18">
        <f>CORPpl!G11</f>
        <v>0</v>
      </c>
      <c r="H38" s="18">
        <f>CORPpl!H11</f>
        <v>0</v>
      </c>
      <c r="I38" s="18">
        <f>CORPpl!I11</f>
        <v>0</v>
      </c>
      <c r="J38" s="18">
        <f>CORPpl!J11</f>
        <v>0</v>
      </c>
      <c r="K38" s="18">
        <f>CORPpl!K11</f>
        <v>0</v>
      </c>
      <c r="L38" s="18">
        <f>CORPpl!L11</f>
        <v>0</v>
      </c>
      <c r="M38" s="18">
        <f>CORPpl!M11</f>
        <v>0</v>
      </c>
      <c r="N38" s="18">
        <f>CORPpl!N11</f>
        <v>0</v>
      </c>
      <c r="O38" s="18">
        <f>CORPpl!O11</f>
        <v>0</v>
      </c>
      <c r="P38" s="18">
        <f>CORPpl!P11</f>
        <v>0</v>
      </c>
      <c r="Q38" s="18">
        <f>CORPpl!Q11</f>
        <v>0</v>
      </c>
      <c r="R38" s="21"/>
    </row>
    <row r="39" spans="1:20" s="27" customFormat="1" hidden="1" outlineLevel="1" x14ac:dyDescent="0.25">
      <c r="C39" s="6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1"/>
      <c r="S39" s="26"/>
    </row>
    <row r="40" spans="1:20" s="14" customFormat="1" collapsed="1" x14ac:dyDescent="0.25">
      <c r="B40" s="14" t="s">
        <v>15</v>
      </c>
      <c r="C40" s="15">
        <f>SUM(D40:Q40)-SUM(D41:Q43)</f>
        <v>0</v>
      </c>
      <c r="D40" s="16">
        <f t="shared" ref="D40:Q40" si="16">SUM(D41:D43)</f>
        <v>11934.684999999999</v>
      </c>
      <c r="E40" s="16">
        <f t="shared" si="16"/>
        <v>13014.693000000001</v>
      </c>
      <c r="F40" s="16">
        <f t="shared" si="16"/>
        <v>13123.322999999999</v>
      </c>
      <c r="G40" s="16">
        <f t="shared" si="16"/>
        <v>12621.662</v>
      </c>
      <c r="H40" s="16">
        <f t="shared" si="16"/>
        <v>13504</v>
      </c>
      <c r="I40" s="16">
        <f t="shared" si="16"/>
        <v>5687.5</v>
      </c>
      <c r="J40" s="16">
        <f t="shared" si="16"/>
        <v>5687.5</v>
      </c>
      <c r="K40" s="16">
        <f t="shared" si="16"/>
        <v>5687.5</v>
      </c>
      <c r="L40" s="16">
        <f t="shared" si="16"/>
        <v>5687.5</v>
      </c>
      <c r="M40" s="16">
        <f t="shared" si="16"/>
        <v>14500</v>
      </c>
      <c r="N40" s="16">
        <f t="shared" si="16"/>
        <v>14750</v>
      </c>
      <c r="O40" s="16">
        <f t="shared" si="16"/>
        <v>14750</v>
      </c>
      <c r="P40" s="16">
        <f t="shared" si="16"/>
        <v>14750</v>
      </c>
      <c r="Q40" s="16">
        <f t="shared" si="16"/>
        <v>14750</v>
      </c>
      <c r="R40" s="21"/>
      <c r="T40" s="19"/>
    </row>
    <row r="41" spans="1:20" s="14" customFormat="1" hidden="1" outlineLevel="1" x14ac:dyDescent="0.25">
      <c r="B41" s="14" t="s">
        <v>544</v>
      </c>
      <c r="C41" s="17">
        <f>SUM(Biz1pl!D12:Q12)-SUM(D41:Q41)</f>
        <v>0</v>
      </c>
      <c r="D41" s="18">
        <f>Biz1pl!D12</f>
        <v>8434.7849999999999</v>
      </c>
      <c r="E41" s="18">
        <f>Biz1pl!E12</f>
        <v>9556.43</v>
      </c>
      <c r="F41" s="18">
        <f>Biz1pl!F12</f>
        <v>9151.1989999999987</v>
      </c>
      <c r="G41" s="18">
        <f>Biz1pl!G12</f>
        <v>8360.6229999999996</v>
      </c>
      <c r="H41" s="18">
        <f>Biz1pl!H12</f>
        <v>8800</v>
      </c>
      <c r="I41" s="18">
        <f>Biz1pl!I12</f>
        <v>2437.5</v>
      </c>
      <c r="J41" s="18">
        <f>Biz1pl!J12</f>
        <v>2437.5</v>
      </c>
      <c r="K41" s="18">
        <f>Biz1pl!K12</f>
        <v>2437.5</v>
      </c>
      <c r="L41" s="18">
        <f>Biz1pl!L12</f>
        <v>2437.5</v>
      </c>
      <c r="M41" s="18">
        <f>Biz1pl!M12</f>
        <v>9750</v>
      </c>
      <c r="N41" s="18">
        <f>Biz1pl!N12</f>
        <v>10250</v>
      </c>
      <c r="O41" s="18">
        <f>Biz1pl!O12</f>
        <v>10500</v>
      </c>
      <c r="P41" s="18">
        <f>Biz1pl!P12</f>
        <v>10500</v>
      </c>
      <c r="Q41" s="18">
        <f>Biz1pl!Q12</f>
        <v>10500</v>
      </c>
      <c r="R41" s="21"/>
      <c r="T41" s="19"/>
    </row>
    <row r="42" spans="1:20" s="14" customFormat="1" hidden="1" outlineLevel="1" x14ac:dyDescent="0.25">
      <c r="B42" s="14" t="s">
        <v>545</v>
      </c>
      <c r="C42" s="17">
        <f>SUM(Biz2pl!D12:Q12)-SUM(D42:Q42)</f>
        <v>0</v>
      </c>
      <c r="D42" s="18">
        <f>Biz2pl!D12</f>
        <v>2831.9</v>
      </c>
      <c r="E42" s="18">
        <f>Biz2pl!E12</f>
        <v>1914.4680000000001</v>
      </c>
      <c r="F42" s="18">
        <f>Biz2pl!F12</f>
        <v>1909.3019999999999</v>
      </c>
      <c r="G42" s="18">
        <f>Biz2pl!G12</f>
        <v>1582.761</v>
      </c>
      <c r="H42" s="18">
        <f>Biz2pl!H12</f>
        <v>1798</v>
      </c>
      <c r="I42" s="18">
        <f>Biz2pl!I12</f>
        <v>500</v>
      </c>
      <c r="J42" s="18">
        <f>Biz2pl!J12</f>
        <v>500</v>
      </c>
      <c r="K42" s="18">
        <f>Biz2pl!K12</f>
        <v>500</v>
      </c>
      <c r="L42" s="18">
        <f>Biz2pl!L12</f>
        <v>500</v>
      </c>
      <c r="M42" s="18">
        <f>Biz2pl!M12</f>
        <v>2000</v>
      </c>
      <c r="N42" s="18">
        <f>Biz2pl!N12</f>
        <v>2000</v>
      </c>
      <c r="O42" s="18">
        <f>Biz2pl!O12</f>
        <v>2250</v>
      </c>
      <c r="P42" s="18">
        <f>Biz2pl!P12</f>
        <v>2250</v>
      </c>
      <c r="Q42" s="18">
        <f>Biz2pl!Q12</f>
        <v>2250</v>
      </c>
      <c r="R42" s="21"/>
      <c r="T42" s="19"/>
    </row>
    <row r="43" spans="1:20" s="26" customFormat="1" hidden="1" outlineLevel="1" x14ac:dyDescent="0.25">
      <c r="B43" s="26" t="s">
        <v>546</v>
      </c>
      <c r="C43" s="17">
        <f>SUM(CORPpl!D12:Q12)-SUM(D43:Q43)</f>
        <v>0</v>
      </c>
      <c r="D43" s="18">
        <f>CORPpl!D12</f>
        <v>668</v>
      </c>
      <c r="E43" s="18">
        <f>CORPpl!E12</f>
        <v>1543.7950000000001</v>
      </c>
      <c r="F43" s="18">
        <f>CORPpl!F12</f>
        <v>2062.8220000000001</v>
      </c>
      <c r="G43" s="18">
        <f>CORPpl!G12</f>
        <v>2678.2780000000002</v>
      </c>
      <c r="H43" s="18">
        <f>CORPpl!H12</f>
        <v>2906</v>
      </c>
      <c r="I43" s="18">
        <f>CORPpl!I12</f>
        <v>2750</v>
      </c>
      <c r="J43" s="18">
        <f>CORPpl!J12</f>
        <v>2750</v>
      </c>
      <c r="K43" s="18">
        <f>CORPpl!K12</f>
        <v>2750</v>
      </c>
      <c r="L43" s="18">
        <f>CORPpl!L12</f>
        <v>2750</v>
      </c>
      <c r="M43" s="18">
        <f>CORPpl!M12</f>
        <v>2750</v>
      </c>
      <c r="N43" s="18">
        <f>CORPpl!N12</f>
        <v>2500</v>
      </c>
      <c r="O43" s="18">
        <f>CORPpl!O12</f>
        <v>2000</v>
      </c>
      <c r="P43" s="18">
        <f>CORPpl!P12</f>
        <v>2000</v>
      </c>
      <c r="Q43" s="18">
        <f>CORPpl!Q12</f>
        <v>2000</v>
      </c>
      <c r="R43" s="21"/>
      <c r="T43" s="19"/>
    </row>
    <row r="44" spans="1:20" s="27" customFormat="1" hidden="1" outlineLevel="1" x14ac:dyDescent="0.25">
      <c r="C44" s="6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1"/>
      <c r="T44" s="19"/>
    </row>
    <row r="45" spans="1:20" s="19" customFormat="1" collapsed="1" x14ac:dyDescent="0.25">
      <c r="A45" s="19" t="s">
        <v>17</v>
      </c>
      <c r="C45" s="15">
        <f>SUM(D45:Q45)-SUM(D46:Q48)</f>
        <v>0</v>
      </c>
      <c r="D45" s="22">
        <f t="shared" ref="D45:Q45" si="17">SUM(D46:D48)</f>
        <v>-61123.603000000003</v>
      </c>
      <c r="E45" s="22">
        <f t="shared" si="17"/>
        <v>-125697.094</v>
      </c>
      <c r="F45" s="22">
        <f t="shared" si="17"/>
        <v>-40377.871999999996</v>
      </c>
      <c r="G45" s="22">
        <f t="shared" si="17"/>
        <v>-20241.097001374459</v>
      </c>
      <c r="H45" s="22">
        <f t="shared" si="17"/>
        <v>3233.2390197854984</v>
      </c>
      <c r="I45" s="22">
        <f t="shared" si="17"/>
        <v>-4576.1311356260831</v>
      </c>
      <c r="J45" s="22">
        <f t="shared" si="17"/>
        <v>-4576.1311356260831</v>
      </c>
      <c r="K45" s="22">
        <f t="shared" si="17"/>
        <v>-4576.1311356260831</v>
      </c>
      <c r="L45" s="22">
        <f t="shared" si="17"/>
        <v>-4576.1311356260831</v>
      </c>
      <c r="M45" s="22">
        <f t="shared" si="17"/>
        <v>-10054.524542504332</v>
      </c>
      <c r="N45" s="22">
        <f t="shared" si="17"/>
        <v>-2460.249398727261</v>
      </c>
      <c r="O45" s="22">
        <f t="shared" si="17"/>
        <v>-1714.8640896039724</v>
      </c>
      <c r="P45" s="22">
        <f t="shared" si="17"/>
        <v>-4037.4166560439407</v>
      </c>
      <c r="Q45" s="22">
        <f t="shared" si="17"/>
        <v>-24212.279416579346</v>
      </c>
      <c r="R45" s="21"/>
    </row>
    <row r="46" spans="1:20" s="19" customFormat="1" hidden="1" outlineLevel="1" x14ac:dyDescent="0.25">
      <c r="B46" s="19" t="s">
        <v>544</v>
      </c>
      <c r="C46" s="17">
        <f>SUM(Biz1pl!D13:Q13)-SUM(D46:Q46)</f>
        <v>0</v>
      </c>
      <c r="D46" s="20">
        <f t="shared" ref="D46:Q46" si="18">D31-D41</f>
        <v>-26698.371000000003</v>
      </c>
      <c r="E46" s="20">
        <f t="shared" si="18"/>
        <v>-42257.432000000001</v>
      </c>
      <c r="F46" s="20">
        <f t="shared" si="18"/>
        <v>-20578.920999999998</v>
      </c>
      <c r="G46" s="20">
        <f t="shared" si="18"/>
        <v>8045.9239986255416</v>
      </c>
      <c r="H46" s="20">
        <f t="shared" si="18"/>
        <v>36820.719831370523</v>
      </c>
      <c r="I46" s="20">
        <f t="shared" si="18"/>
        <v>7164.0699508166017</v>
      </c>
      <c r="J46" s="20">
        <f t="shared" si="18"/>
        <v>7164.0699508166017</v>
      </c>
      <c r="K46" s="20">
        <f t="shared" si="18"/>
        <v>7164.0699508166017</v>
      </c>
      <c r="L46" s="20">
        <f t="shared" si="18"/>
        <v>7164.0699508166017</v>
      </c>
      <c r="M46" s="20">
        <f t="shared" si="18"/>
        <v>28656.279803266407</v>
      </c>
      <c r="N46" s="20">
        <f t="shared" si="18"/>
        <v>39073.941929758257</v>
      </c>
      <c r="O46" s="20">
        <f t="shared" si="18"/>
        <v>41467.488747166171</v>
      </c>
      <c r="P46" s="20">
        <f t="shared" si="18"/>
        <v>39144.936180726203</v>
      </c>
      <c r="Q46" s="20">
        <f t="shared" si="18"/>
        <v>18970.073420190798</v>
      </c>
      <c r="R46" s="21"/>
    </row>
    <row r="47" spans="1:20" s="19" customFormat="1" hidden="1" outlineLevel="1" x14ac:dyDescent="0.25">
      <c r="B47" s="19" t="s">
        <v>545</v>
      </c>
      <c r="C47" s="17">
        <f>SUM(Biz2pl!D13:Q13)-SUM(D47:Q47)</f>
        <v>0</v>
      </c>
      <c r="D47" s="20">
        <f t="shared" ref="D47:Q47" si="19">D32-D42</f>
        <v>-345.91100000000051</v>
      </c>
      <c r="E47" s="20">
        <f t="shared" si="19"/>
        <v>3407.0839999999998</v>
      </c>
      <c r="F47" s="20">
        <f t="shared" si="19"/>
        <v>2505.1380000000008</v>
      </c>
      <c r="G47" s="20">
        <f t="shared" si="19"/>
        <v>338.03899999999931</v>
      </c>
      <c r="H47" s="20">
        <f t="shared" si="19"/>
        <v>-368.55999999999949</v>
      </c>
      <c r="I47" s="20">
        <f t="shared" si="19"/>
        <v>201.45291568975517</v>
      </c>
      <c r="J47" s="20">
        <f t="shared" si="19"/>
        <v>201.45291568975517</v>
      </c>
      <c r="K47" s="20">
        <f t="shared" si="19"/>
        <v>201.45291568975517</v>
      </c>
      <c r="L47" s="20">
        <f t="shared" si="19"/>
        <v>201.45291568975517</v>
      </c>
      <c r="M47" s="20">
        <f t="shared" si="19"/>
        <v>805.81166275902069</v>
      </c>
      <c r="N47" s="20">
        <f t="shared" si="19"/>
        <v>689.90464405773855</v>
      </c>
      <c r="O47" s="20">
        <f t="shared" si="19"/>
        <v>283.3872881591542</v>
      </c>
      <c r="P47" s="20">
        <f t="shared" si="19"/>
        <v>283.3872881591542</v>
      </c>
      <c r="Q47" s="20">
        <f t="shared" si="19"/>
        <v>283.3872881591542</v>
      </c>
      <c r="R47" s="21"/>
    </row>
    <row r="48" spans="1:20" s="19" customFormat="1" hidden="1" outlineLevel="1" x14ac:dyDescent="0.25">
      <c r="B48" s="19" t="s">
        <v>546</v>
      </c>
      <c r="C48" s="17">
        <f>SUM(CORPpl!D13:Q13)-SUM(D48:Q48)</f>
        <v>0</v>
      </c>
      <c r="D48" s="20">
        <f>D33-D38-D43</f>
        <v>-34079.320999999996</v>
      </c>
      <c r="E48" s="20">
        <f t="shared" ref="E48:Q48" si="20">E33-E38-E43</f>
        <v>-86846.745999999999</v>
      </c>
      <c r="F48" s="20">
        <f t="shared" si="20"/>
        <v>-22304.089</v>
      </c>
      <c r="G48" s="20">
        <f t="shared" si="20"/>
        <v>-28625.059999999998</v>
      </c>
      <c r="H48" s="20">
        <f t="shared" si="20"/>
        <v>-33218.920811585027</v>
      </c>
      <c r="I48" s="20">
        <f t="shared" si="20"/>
        <v>-11941.65400213244</v>
      </c>
      <c r="J48" s="20">
        <f t="shared" si="20"/>
        <v>-11941.65400213244</v>
      </c>
      <c r="K48" s="20">
        <f t="shared" si="20"/>
        <v>-11941.65400213244</v>
      </c>
      <c r="L48" s="20">
        <f t="shared" si="20"/>
        <v>-11941.65400213244</v>
      </c>
      <c r="M48" s="20">
        <f t="shared" si="20"/>
        <v>-39516.61600852976</v>
      </c>
      <c r="N48" s="20">
        <f t="shared" si="20"/>
        <v>-42224.095972543255</v>
      </c>
      <c r="O48" s="20">
        <f t="shared" si="20"/>
        <v>-43465.740124929296</v>
      </c>
      <c r="P48" s="20">
        <f t="shared" si="20"/>
        <v>-43465.740124929296</v>
      </c>
      <c r="Q48" s="20">
        <f t="shared" si="20"/>
        <v>-43465.740124929296</v>
      </c>
      <c r="R48" s="21"/>
    </row>
    <row r="49" spans="1:19" s="19" customFormat="1" hidden="1" outlineLevel="1" x14ac:dyDescent="0.25">
      <c r="C49" s="2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9" s="14" customFormat="1" collapsed="1" x14ac:dyDescent="0.25">
      <c r="B50" s="14" t="s">
        <v>7</v>
      </c>
      <c r="C50" s="15">
        <f>SUM(D50:Q50)-SUM(D51:Q53)</f>
        <v>0</v>
      </c>
      <c r="D50" s="16">
        <f t="shared" ref="D50:Q50" si="21">SUM(D51:D53)</f>
        <v>38230.377</v>
      </c>
      <c r="E50" s="16">
        <f t="shared" si="21"/>
        <v>40686.014999999999</v>
      </c>
      <c r="F50" s="16">
        <f t="shared" si="21"/>
        <v>38965.769</v>
      </c>
      <c r="G50" s="16">
        <f t="shared" si="21"/>
        <v>23381.721151124999</v>
      </c>
      <c r="H50" s="16">
        <f t="shared" si="21"/>
        <v>20968.616474999999</v>
      </c>
      <c r="I50" s="16">
        <f t="shared" si="21"/>
        <v>5453.1632449999997</v>
      </c>
      <c r="J50" s="16">
        <f t="shared" si="21"/>
        <v>5453.1632449999997</v>
      </c>
      <c r="K50" s="16">
        <f t="shared" si="21"/>
        <v>5453.1632449999997</v>
      </c>
      <c r="L50" s="16">
        <f t="shared" si="21"/>
        <v>5453.1632449999997</v>
      </c>
      <c r="M50" s="16">
        <f t="shared" si="21"/>
        <v>20214.100745</v>
      </c>
      <c r="N50" s="16">
        <f t="shared" si="21"/>
        <v>20249.878949999998</v>
      </c>
      <c r="O50" s="16">
        <f t="shared" si="21"/>
        <v>20299.878949999998</v>
      </c>
      <c r="P50" s="16">
        <f t="shared" si="21"/>
        <v>19681.25</v>
      </c>
      <c r="Q50" s="16">
        <f t="shared" si="21"/>
        <v>19681.25</v>
      </c>
      <c r="R50" s="21"/>
    </row>
    <row r="51" spans="1:19" s="14" customFormat="1" hidden="1" outlineLevel="1" x14ac:dyDescent="0.25">
      <c r="B51" s="14" t="s">
        <v>544</v>
      </c>
      <c r="C51" s="17">
        <f>SUM(Biz1pl!D14:Q14)-SUM(D51:Q51)</f>
        <v>0</v>
      </c>
      <c r="D51" s="18">
        <f>Biz1pl!D14</f>
        <v>729.07899999999995</v>
      </c>
      <c r="E51" s="18">
        <f>Biz1pl!E14</f>
        <v>3232.6219999999998</v>
      </c>
      <c r="F51" s="18">
        <f>Biz1pl!F14</f>
        <v>1868.018</v>
      </c>
      <c r="G51" s="18">
        <f>Biz1pl!G14</f>
        <v>600.16815112499989</v>
      </c>
      <c r="H51" s="18">
        <f>Biz1pl!H14</f>
        <v>824.64712499999996</v>
      </c>
      <c r="I51" s="18">
        <f>Biz1pl!I14</f>
        <v>414.22179499999999</v>
      </c>
      <c r="J51" s="18">
        <f>Biz1pl!J14</f>
        <v>414.22179499999999</v>
      </c>
      <c r="K51" s="18">
        <f>Biz1pl!K14</f>
        <v>414.22179499999999</v>
      </c>
      <c r="L51" s="18">
        <f>Biz1pl!L14</f>
        <v>414.22179499999999</v>
      </c>
      <c r="M51" s="18">
        <f>Biz1pl!M14</f>
        <v>414.22179499999999</v>
      </c>
      <c r="N51" s="18">
        <f>Biz1pl!N14</f>
        <v>450</v>
      </c>
      <c r="O51" s="18">
        <f>Biz1pl!O14</f>
        <v>500</v>
      </c>
      <c r="P51" s="18">
        <f>Biz1pl!P14</f>
        <v>0</v>
      </c>
      <c r="Q51" s="18">
        <f>Biz1pl!Q14</f>
        <v>0</v>
      </c>
      <c r="R51" s="21"/>
    </row>
    <row r="52" spans="1:19" s="14" customFormat="1" hidden="1" outlineLevel="1" x14ac:dyDescent="0.25">
      <c r="B52" s="14" t="s">
        <v>545</v>
      </c>
      <c r="C52" s="17">
        <f>SUM(Biz2pl!D14:Q14)-SUM(D52:Q52)</f>
        <v>0</v>
      </c>
      <c r="D52" s="18">
        <f>Biz2pl!D14</f>
        <v>5909.0530000000008</v>
      </c>
      <c r="E52" s="18">
        <f>Biz2pl!E14</f>
        <v>4664.7150000000001</v>
      </c>
      <c r="F52" s="18">
        <f>Biz2pl!F14</f>
        <v>1842.751</v>
      </c>
      <c r="G52" s="18">
        <f>Biz2pl!G14</f>
        <v>330.37200000000001</v>
      </c>
      <c r="H52" s="18">
        <f>Biz2pl!H14</f>
        <v>117.42247500000002</v>
      </c>
      <c r="I52" s="18">
        <f>Biz2pl!I14</f>
        <v>118.62895000000002</v>
      </c>
      <c r="J52" s="18">
        <f>Biz2pl!J14</f>
        <v>118.62895000000002</v>
      </c>
      <c r="K52" s="18">
        <f>Biz2pl!K14</f>
        <v>118.62895000000002</v>
      </c>
      <c r="L52" s="18">
        <f>Biz2pl!L14</f>
        <v>118.62895000000002</v>
      </c>
      <c r="M52" s="18">
        <f>Biz2pl!M14</f>
        <v>118.62895000000002</v>
      </c>
      <c r="N52" s="18">
        <f>Biz2pl!N14</f>
        <v>118.62895000000002</v>
      </c>
      <c r="O52" s="18">
        <f>Biz2pl!O14</f>
        <v>118.62895000000002</v>
      </c>
      <c r="P52" s="18">
        <f>Biz2pl!P14</f>
        <v>0</v>
      </c>
      <c r="Q52" s="18">
        <f>Biz2pl!Q14</f>
        <v>0</v>
      </c>
      <c r="R52" s="21"/>
    </row>
    <row r="53" spans="1:19" s="26" customFormat="1" hidden="1" outlineLevel="1" x14ac:dyDescent="0.25">
      <c r="B53" s="26" t="s">
        <v>546</v>
      </c>
      <c r="C53" s="17">
        <f>SUM(CORPpl!D14:Q14)-SUM(D53:Q53)</f>
        <v>0</v>
      </c>
      <c r="D53" s="18">
        <f>CORPpl!D14</f>
        <v>31592.244999999999</v>
      </c>
      <c r="E53" s="18">
        <f>CORPpl!E14</f>
        <v>32788.678</v>
      </c>
      <c r="F53" s="18">
        <f>CORPpl!F14</f>
        <v>35255</v>
      </c>
      <c r="G53" s="18">
        <f>CORPpl!G14</f>
        <v>22451.181</v>
      </c>
      <c r="H53" s="18">
        <f>CORPpl!H14</f>
        <v>20026.546875</v>
      </c>
      <c r="I53" s="18">
        <f>CORPpl!I14</f>
        <v>4920.3125</v>
      </c>
      <c r="J53" s="18">
        <f>CORPpl!J14</f>
        <v>4920.3125</v>
      </c>
      <c r="K53" s="18">
        <f>CORPpl!K14</f>
        <v>4920.3125</v>
      </c>
      <c r="L53" s="18">
        <f>CORPpl!L14</f>
        <v>4920.3125</v>
      </c>
      <c r="M53" s="18">
        <f>CORPpl!M14</f>
        <v>19681.25</v>
      </c>
      <c r="N53" s="18">
        <f>CORPpl!N14</f>
        <v>19681.25</v>
      </c>
      <c r="O53" s="18">
        <f>CORPpl!O14</f>
        <v>19681.25</v>
      </c>
      <c r="P53" s="18">
        <f>CORPpl!P14</f>
        <v>19681.25</v>
      </c>
      <c r="Q53" s="18">
        <f>CORPpl!Q14</f>
        <v>19681.25</v>
      </c>
      <c r="R53" s="21"/>
    </row>
    <row r="54" spans="1:19" s="27" customFormat="1" hidden="1" outlineLevel="1" x14ac:dyDescent="0.25">
      <c r="C54" s="6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1"/>
    </row>
    <row r="55" spans="1:19" s="19" customFormat="1" collapsed="1" x14ac:dyDescent="0.25">
      <c r="A55" s="19" t="s">
        <v>9</v>
      </c>
      <c r="C55" s="15">
        <f>SUM(D56:Q58)-SUM(D55:Q55)</f>
        <v>0</v>
      </c>
      <c r="D55" s="22">
        <f t="shared" ref="D55:Q55" si="22">SUM(D56:D58)</f>
        <v>-99353.98</v>
      </c>
      <c r="E55" s="22">
        <f t="shared" si="22"/>
        <v>-166383.109</v>
      </c>
      <c r="F55" s="22">
        <f t="shared" si="22"/>
        <v>-79343.641000000003</v>
      </c>
      <c r="G55" s="22">
        <f t="shared" si="22"/>
        <v>-43622.818152499451</v>
      </c>
      <c r="H55" s="22">
        <f t="shared" si="22"/>
        <v>-17735.377455214504</v>
      </c>
      <c r="I55" s="22">
        <f t="shared" si="22"/>
        <v>-10029.294380626085</v>
      </c>
      <c r="J55" s="22">
        <f t="shared" si="22"/>
        <v>-10029.294380626085</v>
      </c>
      <c r="K55" s="22">
        <f t="shared" si="22"/>
        <v>-10029.294380626085</v>
      </c>
      <c r="L55" s="22">
        <f t="shared" si="22"/>
        <v>-10029.294380626085</v>
      </c>
      <c r="M55" s="22">
        <f t="shared" si="22"/>
        <v>-30268.625287504332</v>
      </c>
      <c r="N55" s="22">
        <f t="shared" si="22"/>
        <v>-22710.128348727259</v>
      </c>
      <c r="O55" s="22">
        <f t="shared" si="22"/>
        <v>-22014.743039603971</v>
      </c>
      <c r="P55" s="22">
        <f t="shared" si="22"/>
        <v>-23718.666656043941</v>
      </c>
      <c r="Q55" s="22">
        <f t="shared" si="22"/>
        <v>-43893.529416579346</v>
      </c>
      <c r="R55" s="21"/>
      <c r="S55" s="26"/>
    </row>
    <row r="56" spans="1:19" s="19" customFormat="1" hidden="1" outlineLevel="1" x14ac:dyDescent="0.25">
      <c r="B56" s="19" t="s">
        <v>544</v>
      </c>
      <c r="C56" s="17">
        <f>SUM(Biz1pl!D15:Q15)-SUM(D56:Q56)</f>
        <v>0</v>
      </c>
      <c r="D56" s="20">
        <f>D46-D51</f>
        <v>-27427.450000000004</v>
      </c>
      <c r="E56" s="20">
        <f t="shared" ref="E56:Q56" si="23">E46-E51</f>
        <v>-45490.054000000004</v>
      </c>
      <c r="F56" s="20">
        <f t="shared" si="23"/>
        <v>-22446.938999999998</v>
      </c>
      <c r="G56" s="20">
        <f t="shared" si="23"/>
        <v>7445.7558475005417</v>
      </c>
      <c r="H56" s="20">
        <f t="shared" si="23"/>
        <v>35996.07270637052</v>
      </c>
      <c r="I56" s="20">
        <f t="shared" si="23"/>
        <v>6749.8481558166013</v>
      </c>
      <c r="J56" s="20">
        <f t="shared" si="23"/>
        <v>6749.8481558166013</v>
      </c>
      <c r="K56" s="20">
        <f t="shared" si="23"/>
        <v>6749.8481558166013</v>
      </c>
      <c r="L56" s="20">
        <f t="shared" si="23"/>
        <v>6749.8481558166013</v>
      </c>
      <c r="M56" s="20">
        <f t="shared" si="23"/>
        <v>28242.058008266406</v>
      </c>
      <c r="N56" s="20">
        <f t="shared" si="23"/>
        <v>38623.941929758257</v>
      </c>
      <c r="O56" s="20">
        <f t="shared" si="23"/>
        <v>40967.488747166171</v>
      </c>
      <c r="P56" s="20">
        <f t="shared" si="23"/>
        <v>39144.936180726203</v>
      </c>
      <c r="Q56" s="20">
        <f t="shared" si="23"/>
        <v>18970.073420190798</v>
      </c>
      <c r="R56" s="21"/>
      <c r="S56" s="26"/>
    </row>
    <row r="57" spans="1:19" s="19" customFormat="1" hidden="1" outlineLevel="1" x14ac:dyDescent="0.25">
      <c r="B57" s="19" t="s">
        <v>545</v>
      </c>
      <c r="C57" s="17">
        <f>SUM(Biz2pl!D15:Q15)-SUM(D57:Q57)</f>
        <v>0</v>
      </c>
      <c r="D57" s="20">
        <f t="shared" ref="D57:Q57" si="24">D47-D52</f>
        <v>-6254.9640000000018</v>
      </c>
      <c r="E57" s="20">
        <f t="shared" si="24"/>
        <v>-1257.6310000000003</v>
      </c>
      <c r="F57" s="20">
        <f t="shared" si="24"/>
        <v>662.38700000000085</v>
      </c>
      <c r="G57" s="20">
        <f t="shared" si="24"/>
        <v>7.666999999999291</v>
      </c>
      <c r="H57" s="20">
        <f t="shared" si="24"/>
        <v>-485.98247499999951</v>
      </c>
      <c r="I57" s="20">
        <f t="shared" si="24"/>
        <v>82.823965689755155</v>
      </c>
      <c r="J57" s="20">
        <f t="shared" si="24"/>
        <v>82.823965689755155</v>
      </c>
      <c r="K57" s="20">
        <f t="shared" si="24"/>
        <v>82.823965689755155</v>
      </c>
      <c r="L57" s="20">
        <f t="shared" si="24"/>
        <v>82.823965689755155</v>
      </c>
      <c r="M57" s="20">
        <f t="shared" si="24"/>
        <v>687.18271275902066</v>
      </c>
      <c r="N57" s="20">
        <f t="shared" si="24"/>
        <v>571.27569405773852</v>
      </c>
      <c r="O57" s="20">
        <f t="shared" si="24"/>
        <v>164.75833815915416</v>
      </c>
      <c r="P57" s="20">
        <f t="shared" si="24"/>
        <v>283.3872881591542</v>
      </c>
      <c r="Q57" s="20">
        <f t="shared" si="24"/>
        <v>283.3872881591542</v>
      </c>
      <c r="R57" s="21"/>
      <c r="S57" s="26"/>
    </row>
    <row r="58" spans="1:19" s="19" customFormat="1" hidden="1" outlineLevel="1" x14ac:dyDescent="0.25">
      <c r="B58" s="19" t="s">
        <v>546</v>
      </c>
      <c r="C58" s="17">
        <f>SUM(CORPpl!D15:Q15)-SUM(D58:Q58)</f>
        <v>0</v>
      </c>
      <c r="D58" s="20">
        <f t="shared" ref="D58:Q58" si="25">D48-D53</f>
        <v>-65671.565999999992</v>
      </c>
      <c r="E58" s="20">
        <f t="shared" si="25"/>
        <v>-119635.424</v>
      </c>
      <c r="F58" s="20">
        <f t="shared" si="25"/>
        <v>-57559.089</v>
      </c>
      <c r="G58" s="20">
        <f t="shared" si="25"/>
        <v>-51076.240999999995</v>
      </c>
      <c r="H58" s="20">
        <f t="shared" si="25"/>
        <v>-53245.467686585027</v>
      </c>
      <c r="I58" s="20">
        <f t="shared" si="25"/>
        <v>-16861.96650213244</v>
      </c>
      <c r="J58" s="20">
        <f t="shared" si="25"/>
        <v>-16861.96650213244</v>
      </c>
      <c r="K58" s="20">
        <f t="shared" si="25"/>
        <v>-16861.96650213244</v>
      </c>
      <c r="L58" s="20">
        <f t="shared" si="25"/>
        <v>-16861.96650213244</v>
      </c>
      <c r="M58" s="20">
        <f t="shared" si="25"/>
        <v>-59197.86600852976</v>
      </c>
      <c r="N58" s="20">
        <f t="shared" si="25"/>
        <v>-61905.345972543255</v>
      </c>
      <c r="O58" s="20">
        <f t="shared" si="25"/>
        <v>-63146.990124929296</v>
      </c>
      <c r="P58" s="20">
        <f t="shared" si="25"/>
        <v>-63146.990124929296</v>
      </c>
      <c r="Q58" s="20">
        <f t="shared" si="25"/>
        <v>-63146.990124929296</v>
      </c>
      <c r="R58" s="21"/>
    </row>
    <row r="59" spans="1:19" s="19" customFormat="1" hidden="1" outlineLevel="1" x14ac:dyDescent="0.25">
      <c r="C59" s="2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</row>
    <row r="60" spans="1:19" s="14" customFormat="1" collapsed="1" x14ac:dyDescent="0.25">
      <c r="B60" s="14" t="s">
        <v>10</v>
      </c>
      <c r="C60" s="15">
        <f>SUM(D60:Q60)-SUM(D61:Q63)</f>
        <v>0</v>
      </c>
      <c r="D60" s="16">
        <f t="shared" ref="D60:Q60" si="26">SUM(D61:D63)</f>
        <v>-28167.016</v>
      </c>
      <c r="E60" s="16">
        <f t="shared" si="26"/>
        <v>-36429.347000000002</v>
      </c>
      <c r="F60" s="16">
        <f t="shared" si="26"/>
        <v>-24798.9</v>
      </c>
      <c r="G60" s="16">
        <f t="shared" si="26"/>
        <v>-16906.525000000001</v>
      </c>
      <c r="H60" s="16">
        <f t="shared" si="26"/>
        <v>-3519.8890183598996</v>
      </c>
      <c r="I60" s="16">
        <f t="shared" si="26"/>
        <v>-4029.9390247021797</v>
      </c>
      <c r="J60" s="16">
        <f t="shared" si="26"/>
        <v>-4029.9390247021797</v>
      </c>
      <c r="K60" s="16">
        <f t="shared" si="26"/>
        <v>-4029.9390247021797</v>
      </c>
      <c r="L60" s="16">
        <f t="shared" si="26"/>
        <v>-4029.9390247021797</v>
      </c>
      <c r="M60" s="16">
        <f t="shared" si="26"/>
        <v>-12258.630311808718</v>
      </c>
      <c r="N60" s="16">
        <f t="shared" si="26"/>
        <v>-9209.7319921836061</v>
      </c>
      <c r="O60" s="16">
        <f t="shared" si="26"/>
        <v>-8842.1440502366022</v>
      </c>
      <c r="P60" s="16">
        <f t="shared" si="26"/>
        <v>-9549.8118658125895</v>
      </c>
      <c r="Q60" s="16">
        <f t="shared" si="26"/>
        <v>-17619.756970026752</v>
      </c>
      <c r="R60" s="21"/>
    </row>
    <row r="61" spans="1:19" s="14" customFormat="1" hidden="1" outlineLevel="1" x14ac:dyDescent="0.25">
      <c r="B61" s="14" t="s">
        <v>544</v>
      </c>
      <c r="C61" s="17">
        <f>SUM(Biz1pl!D16:Q16)-SUM(D61:Q61)</f>
        <v>0</v>
      </c>
      <c r="D61" s="18">
        <f>Biz1pl!D16</f>
        <v>-488.76</v>
      </c>
      <c r="E61" s="18">
        <f>Biz1pl!E16</f>
        <v>-3278.962</v>
      </c>
      <c r="F61" s="18">
        <f>Biz1pl!F16</f>
        <v>1387.134</v>
      </c>
      <c r="G61" s="18">
        <f>Biz1pl!G16</f>
        <v>4200.7780000000002</v>
      </c>
      <c r="H61" s="18">
        <f>Biz1pl!H16</f>
        <v>18991.092256274111</v>
      </c>
      <c r="I61" s="18">
        <f>Biz1pl!I16</f>
        <v>2699.9392623266408</v>
      </c>
      <c r="J61" s="18">
        <f>Biz1pl!J16</f>
        <v>2699.9392623266408</v>
      </c>
      <c r="K61" s="18">
        <f>Biz1pl!K16</f>
        <v>2699.9392623266408</v>
      </c>
      <c r="L61" s="18">
        <f>Biz1pl!L16</f>
        <v>2699.9392623266408</v>
      </c>
      <c r="M61" s="18">
        <f>Biz1pl!M16</f>
        <v>11296.823203306563</v>
      </c>
      <c r="N61" s="18">
        <f>Biz1pl!N16</f>
        <v>15449.576771903303</v>
      </c>
      <c r="O61" s="18">
        <f>Biz1pl!O16</f>
        <v>16386.995498866469</v>
      </c>
      <c r="P61" s="18">
        <f>Biz1pl!P16</f>
        <v>15657.974472290482</v>
      </c>
      <c r="Q61" s="18">
        <f>Biz1pl!Q16</f>
        <v>7588.0293680763198</v>
      </c>
      <c r="R61" s="21"/>
    </row>
    <row r="62" spans="1:19" s="14" customFormat="1" hidden="1" outlineLevel="1" x14ac:dyDescent="0.25">
      <c r="B62" s="14" t="s">
        <v>545</v>
      </c>
      <c r="C62" s="17">
        <f>SUM(Biz2pl!D16:Q16)-SUM(D62:Q62)</f>
        <v>0</v>
      </c>
      <c r="D62" s="18">
        <f>Biz2pl!D16</f>
        <v>0</v>
      </c>
      <c r="E62" s="18">
        <f>Biz2pl!E16</f>
        <v>-2500.9319999999998</v>
      </c>
      <c r="F62" s="18">
        <f>Biz2pl!F16</f>
        <v>-312.03399999999999</v>
      </c>
      <c r="G62" s="18">
        <f>Biz2pl!G16</f>
        <v>463.34800000000001</v>
      </c>
      <c r="H62" s="18">
        <f>Biz2pl!H16</f>
        <v>461.988</v>
      </c>
      <c r="I62" s="18">
        <f>Biz2pl!I16</f>
        <v>14.908313824155927</v>
      </c>
      <c r="J62" s="18">
        <f>Biz2pl!J16</f>
        <v>14.908313824155927</v>
      </c>
      <c r="K62" s="18">
        <f>Biz2pl!K16</f>
        <v>14.908313824155927</v>
      </c>
      <c r="L62" s="18">
        <f>Biz2pl!L16</f>
        <v>14.908313824155927</v>
      </c>
      <c r="M62" s="18">
        <f>Biz2pl!M16</f>
        <v>123.69288829662372</v>
      </c>
      <c r="N62" s="18">
        <f>Biz2pl!N16</f>
        <v>102.82962493039292</v>
      </c>
      <c r="O62" s="18">
        <f>Biz2pl!O16</f>
        <v>29.656500868647747</v>
      </c>
      <c r="P62" s="18">
        <f>Biz2pl!P16</f>
        <v>51.009711868647756</v>
      </c>
      <c r="Q62" s="18">
        <f>Biz2pl!Q16</f>
        <v>51.009711868647756</v>
      </c>
      <c r="R62" s="21"/>
    </row>
    <row r="63" spans="1:19" s="26" customFormat="1" hidden="1" outlineLevel="1" x14ac:dyDescent="0.25">
      <c r="B63" s="26" t="s">
        <v>546</v>
      </c>
      <c r="C63" s="17">
        <f>SUM(CORPpl!D16:Q16)-SUM(D63:Q63)</f>
        <v>0</v>
      </c>
      <c r="D63" s="18">
        <f>CORPpl!D16</f>
        <v>-27678.256000000001</v>
      </c>
      <c r="E63" s="18">
        <f>CORPpl!E16</f>
        <v>-30649.453000000001</v>
      </c>
      <c r="F63" s="18">
        <f>CORPpl!F16</f>
        <v>-25874</v>
      </c>
      <c r="G63" s="18">
        <f>CORPpl!G16</f>
        <v>-21570.651000000002</v>
      </c>
      <c r="H63" s="18">
        <f>CORPpl!H16</f>
        <v>-22972.969274634012</v>
      </c>
      <c r="I63" s="18">
        <f>CORPpl!I16</f>
        <v>-6744.7866008529763</v>
      </c>
      <c r="J63" s="18">
        <f>CORPpl!J16</f>
        <v>-6744.7866008529763</v>
      </c>
      <c r="K63" s="18">
        <f>CORPpl!K16</f>
        <v>-6744.7866008529763</v>
      </c>
      <c r="L63" s="18">
        <f>CORPpl!L16</f>
        <v>-6744.7866008529763</v>
      </c>
      <c r="M63" s="18">
        <f>CORPpl!M16</f>
        <v>-23679.146403411905</v>
      </c>
      <c r="N63" s="18">
        <f>CORPpl!N16</f>
        <v>-24762.138389017302</v>
      </c>
      <c r="O63" s="18">
        <f>CORPpl!O16</f>
        <v>-25258.796049971719</v>
      </c>
      <c r="P63" s="18">
        <f>CORPpl!P16</f>
        <v>-25258.796049971719</v>
      </c>
      <c r="Q63" s="18">
        <f>CORPpl!Q16</f>
        <v>-25258.796049971719</v>
      </c>
      <c r="R63" s="21"/>
    </row>
    <row r="64" spans="1:19" s="27" customFormat="1" hidden="1" outlineLevel="1" x14ac:dyDescent="0.25">
      <c r="C64" s="6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1"/>
    </row>
    <row r="65" spans="1:20" s="19" customFormat="1" collapsed="1" x14ac:dyDescent="0.25">
      <c r="A65" s="19" t="s">
        <v>11</v>
      </c>
      <c r="C65" s="15">
        <f>SUM(D65:Q65)-SUM(D66:Q68)</f>
        <v>0</v>
      </c>
      <c r="D65" s="22">
        <f t="shared" ref="D65:Q65" si="27">SUM(D66:D68)</f>
        <v>-71186.964000000007</v>
      </c>
      <c r="E65" s="22">
        <f t="shared" si="27"/>
        <v>-129953.76199999999</v>
      </c>
      <c r="F65" s="22">
        <f t="shared" si="27"/>
        <v>-54544.740999999995</v>
      </c>
      <c r="G65" s="22">
        <f t="shared" si="27"/>
        <v>-26716.293152499453</v>
      </c>
      <c r="H65" s="22">
        <f t="shared" si="27"/>
        <v>-14215.488436854606</v>
      </c>
      <c r="I65" s="22">
        <f t="shared" si="27"/>
        <v>-5999.3553559239035</v>
      </c>
      <c r="J65" s="22">
        <f t="shared" si="27"/>
        <v>-5999.3553559239035</v>
      </c>
      <c r="K65" s="22">
        <f t="shared" si="27"/>
        <v>-5999.3553559239035</v>
      </c>
      <c r="L65" s="22">
        <f t="shared" si="27"/>
        <v>-5999.3553559239035</v>
      </c>
      <c r="M65" s="22">
        <f t="shared" si="27"/>
        <v>-18009.994975695612</v>
      </c>
      <c r="N65" s="22">
        <f t="shared" si="27"/>
        <v>-13500.396356543653</v>
      </c>
      <c r="O65" s="22">
        <f t="shared" si="27"/>
        <v>-13172.598989367365</v>
      </c>
      <c r="P65" s="22">
        <f t="shared" si="27"/>
        <v>-14168.854790231344</v>
      </c>
      <c r="Q65" s="22">
        <f t="shared" si="27"/>
        <v>-26273.77244655259</v>
      </c>
      <c r="R65" s="21"/>
    </row>
    <row r="66" spans="1:20" s="19" customFormat="1" hidden="1" outlineLevel="1" x14ac:dyDescent="0.25">
      <c r="B66" s="19" t="s">
        <v>544</v>
      </c>
      <c r="C66" s="17">
        <f>SUM(Biz1pl!D17:Q17)-SUM(D66:Q66)</f>
        <v>0</v>
      </c>
      <c r="D66" s="20">
        <f t="shared" ref="D66:Q66" si="28">D56-D61</f>
        <v>-26938.690000000006</v>
      </c>
      <c r="E66" s="20">
        <f t="shared" si="28"/>
        <v>-42211.092000000004</v>
      </c>
      <c r="F66" s="20">
        <f t="shared" si="28"/>
        <v>-23834.072999999997</v>
      </c>
      <c r="G66" s="20">
        <f t="shared" si="28"/>
        <v>3244.9778475005414</v>
      </c>
      <c r="H66" s="20">
        <f t="shared" si="28"/>
        <v>17004.980450096409</v>
      </c>
      <c r="I66" s="20">
        <f t="shared" si="28"/>
        <v>4049.9088934899605</v>
      </c>
      <c r="J66" s="20">
        <f t="shared" si="28"/>
        <v>4049.9088934899605</v>
      </c>
      <c r="K66" s="20">
        <f t="shared" si="28"/>
        <v>4049.9088934899605</v>
      </c>
      <c r="L66" s="20">
        <f t="shared" si="28"/>
        <v>4049.9088934899605</v>
      </c>
      <c r="M66" s="20">
        <f t="shared" si="28"/>
        <v>16945.234804959844</v>
      </c>
      <c r="N66" s="20">
        <f t="shared" si="28"/>
        <v>23174.365157854954</v>
      </c>
      <c r="O66" s="20">
        <f t="shared" si="28"/>
        <v>24580.493248299703</v>
      </c>
      <c r="P66" s="20">
        <f t="shared" si="28"/>
        <v>23486.961708435723</v>
      </c>
      <c r="Q66" s="20">
        <f t="shared" si="28"/>
        <v>11382.044052114477</v>
      </c>
      <c r="R66" s="21"/>
    </row>
    <row r="67" spans="1:20" s="19" customFormat="1" hidden="1" outlineLevel="1" x14ac:dyDescent="0.25">
      <c r="B67" s="19" t="s">
        <v>545</v>
      </c>
      <c r="C67" s="17">
        <f>SUM(Biz2pl!D17:Q17)-SUM(D67:Q67)</f>
        <v>0</v>
      </c>
      <c r="D67" s="20">
        <f t="shared" ref="D67:Q67" si="29">D57-D62</f>
        <v>-6254.9640000000018</v>
      </c>
      <c r="E67" s="20">
        <f t="shared" si="29"/>
        <v>1243.3009999999995</v>
      </c>
      <c r="F67" s="20">
        <f t="shared" si="29"/>
        <v>974.42100000000084</v>
      </c>
      <c r="G67" s="20">
        <f t="shared" si="29"/>
        <v>-455.68100000000072</v>
      </c>
      <c r="H67" s="20">
        <f t="shared" si="29"/>
        <v>-947.97047499999951</v>
      </c>
      <c r="I67" s="20">
        <f t="shared" si="29"/>
        <v>67.91565186559923</v>
      </c>
      <c r="J67" s="20">
        <f t="shared" si="29"/>
        <v>67.91565186559923</v>
      </c>
      <c r="K67" s="20">
        <f t="shared" si="29"/>
        <v>67.91565186559923</v>
      </c>
      <c r="L67" s="20">
        <f t="shared" si="29"/>
        <v>67.91565186559923</v>
      </c>
      <c r="M67" s="20">
        <f t="shared" si="29"/>
        <v>563.48982446239688</v>
      </c>
      <c r="N67" s="20">
        <f t="shared" si="29"/>
        <v>468.4460691273456</v>
      </c>
      <c r="O67" s="20">
        <f t="shared" si="29"/>
        <v>135.10183729050641</v>
      </c>
      <c r="P67" s="20">
        <f t="shared" si="29"/>
        <v>232.37757629050645</v>
      </c>
      <c r="Q67" s="20">
        <f t="shared" si="29"/>
        <v>232.37757629050645</v>
      </c>
      <c r="R67" s="21"/>
    </row>
    <row r="68" spans="1:20" s="19" customFormat="1" hidden="1" outlineLevel="1" x14ac:dyDescent="0.25">
      <c r="B68" s="19" t="s">
        <v>546</v>
      </c>
      <c r="C68" s="17">
        <f>SUM(CORPpl!D17:Q17)-SUM(D68:Q68)</f>
        <v>0</v>
      </c>
      <c r="D68" s="20">
        <f t="shared" ref="D68:Q68" si="30">D58-D63</f>
        <v>-37993.30999999999</v>
      </c>
      <c r="E68" s="20">
        <f t="shared" si="30"/>
        <v>-88985.97099999999</v>
      </c>
      <c r="F68" s="20">
        <f t="shared" si="30"/>
        <v>-31685.089</v>
      </c>
      <c r="G68" s="20">
        <f t="shared" si="30"/>
        <v>-29505.589999999993</v>
      </c>
      <c r="H68" s="20">
        <f t="shared" si="30"/>
        <v>-30272.498411951015</v>
      </c>
      <c r="I68" s="20">
        <f t="shared" si="30"/>
        <v>-10117.179901279464</v>
      </c>
      <c r="J68" s="20">
        <f t="shared" si="30"/>
        <v>-10117.179901279464</v>
      </c>
      <c r="K68" s="20">
        <f t="shared" si="30"/>
        <v>-10117.179901279464</v>
      </c>
      <c r="L68" s="20">
        <f t="shared" si="30"/>
        <v>-10117.179901279464</v>
      </c>
      <c r="M68" s="20">
        <f t="shared" si="30"/>
        <v>-35518.719605117854</v>
      </c>
      <c r="N68" s="20">
        <f t="shared" si="30"/>
        <v>-37143.207583525953</v>
      </c>
      <c r="O68" s="20">
        <f t="shared" si="30"/>
        <v>-37888.194074957573</v>
      </c>
      <c r="P68" s="20">
        <f t="shared" si="30"/>
        <v>-37888.194074957573</v>
      </c>
      <c r="Q68" s="20">
        <f t="shared" si="30"/>
        <v>-37888.194074957573</v>
      </c>
      <c r="R68" s="21"/>
    </row>
    <row r="69" spans="1:20" s="19" customFormat="1" hidden="1" outlineLevel="1" x14ac:dyDescent="0.25">
      <c r="C69" s="2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</row>
    <row r="70" spans="1:20" s="14" customFormat="1" collapsed="1" x14ac:dyDescent="0.25">
      <c r="B70" s="14" t="s">
        <v>12</v>
      </c>
      <c r="C70" s="15">
        <f>SUM(D70:Q70)-SUM(D71:Q73)</f>
        <v>0</v>
      </c>
      <c r="D70" s="16">
        <f t="shared" ref="D70:Q70" si="31">SUM(D71:D73)</f>
        <v>872</v>
      </c>
      <c r="E70" s="16">
        <f t="shared" si="31"/>
        <v>-565</v>
      </c>
      <c r="F70" s="16">
        <f t="shared" si="31"/>
        <v>-560.76800000000003</v>
      </c>
      <c r="G70" s="16">
        <f t="shared" si="31"/>
        <v>-592</v>
      </c>
      <c r="H70" s="16">
        <f t="shared" si="31"/>
        <v>-342</v>
      </c>
      <c r="I70" s="16">
        <f t="shared" si="31"/>
        <v>62.5</v>
      </c>
      <c r="J70" s="16">
        <f t="shared" si="31"/>
        <v>62.5</v>
      </c>
      <c r="K70" s="16">
        <f t="shared" si="31"/>
        <v>62.5</v>
      </c>
      <c r="L70" s="16">
        <f t="shared" si="31"/>
        <v>62.5</v>
      </c>
      <c r="M70" s="16">
        <f t="shared" si="31"/>
        <v>250</v>
      </c>
      <c r="N70" s="16">
        <f t="shared" si="31"/>
        <v>500</v>
      </c>
      <c r="O70" s="16">
        <f t="shared" si="31"/>
        <v>500</v>
      </c>
      <c r="P70" s="16">
        <f t="shared" si="31"/>
        <v>500</v>
      </c>
      <c r="Q70" s="16">
        <f t="shared" si="31"/>
        <v>500</v>
      </c>
      <c r="R70" s="21"/>
    </row>
    <row r="71" spans="1:20" s="14" customFormat="1" hidden="1" outlineLevel="1" x14ac:dyDescent="0.25">
      <c r="B71" s="14" t="s">
        <v>544</v>
      </c>
      <c r="C71" s="17">
        <f>SUM(Biz1pl!D18:Q18)-SUM(D71:Q71)</f>
        <v>0</v>
      </c>
      <c r="D71" s="18">
        <f>Biz1pl!D18</f>
        <v>872</v>
      </c>
      <c r="E71" s="18">
        <f>Biz1pl!E18</f>
        <v>-565</v>
      </c>
      <c r="F71" s="18">
        <f>Biz1pl!F18</f>
        <v>-607.00300000000004</v>
      </c>
      <c r="G71" s="18">
        <f>Biz1pl!G18</f>
        <v>-592</v>
      </c>
      <c r="H71" s="18">
        <f>Biz1pl!H18</f>
        <v>-342</v>
      </c>
      <c r="I71" s="18">
        <f>Biz1pl!I18</f>
        <v>62.5</v>
      </c>
      <c r="J71" s="18">
        <f>Biz1pl!J18</f>
        <v>62.5</v>
      </c>
      <c r="K71" s="18">
        <f>Biz1pl!K18</f>
        <v>62.5</v>
      </c>
      <c r="L71" s="18">
        <f>Biz1pl!L18</f>
        <v>62.5</v>
      </c>
      <c r="M71" s="18">
        <f>Biz1pl!M18</f>
        <v>250</v>
      </c>
      <c r="N71" s="18">
        <f>Biz1pl!N18</f>
        <v>500</v>
      </c>
      <c r="O71" s="18">
        <f>Biz1pl!O18</f>
        <v>500</v>
      </c>
      <c r="P71" s="18">
        <f>Biz1pl!P18</f>
        <v>500</v>
      </c>
      <c r="Q71" s="18">
        <f>Biz1pl!Q18</f>
        <v>500</v>
      </c>
      <c r="R71" s="21"/>
    </row>
    <row r="72" spans="1:20" s="14" customFormat="1" hidden="1" outlineLevel="1" x14ac:dyDescent="0.25">
      <c r="B72" s="14" t="s">
        <v>545</v>
      </c>
      <c r="C72" s="17">
        <f>SUM(Biz2pl!D18:Q18)-SUM(D72:Q72)</f>
        <v>0</v>
      </c>
      <c r="D72" s="18">
        <f>Biz2pl!D18</f>
        <v>0</v>
      </c>
      <c r="E72" s="18">
        <f>Biz2pl!E18</f>
        <v>0</v>
      </c>
      <c r="F72" s="18">
        <f>Biz2pl!F18</f>
        <v>0</v>
      </c>
      <c r="G72" s="18">
        <f>Biz2pl!G18</f>
        <v>0</v>
      </c>
      <c r="H72" s="18">
        <f>Biz2pl!H18</f>
        <v>0</v>
      </c>
      <c r="I72" s="18">
        <f>Biz2pl!I18</f>
        <v>0</v>
      </c>
      <c r="J72" s="18">
        <f>Biz2pl!J18</f>
        <v>0</v>
      </c>
      <c r="K72" s="18">
        <f>Biz2pl!K18</f>
        <v>0</v>
      </c>
      <c r="L72" s="18">
        <f>Biz2pl!L18</f>
        <v>0</v>
      </c>
      <c r="M72" s="18">
        <f>Biz2pl!M18</f>
        <v>0</v>
      </c>
      <c r="N72" s="18">
        <f>Biz2pl!N18</f>
        <v>0</v>
      </c>
      <c r="O72" s="18">
        <f>Biz2pl!O18</f>
        <v>0</v>
      </c>
      <c r="P72" s="18">
        <f>Biz2pl!P18</f>
        <v>0</v>
      </c>
      <c r="Q72" s="18">
        <f>Biz2pl!Q18</f>
        <v>0</v>
      </c>
      <c r="R72" s="21"/>
    </row>
    <row r="73" spans="1:20" s="26" customFormat="1" hidden="1" outlineLevel="1" x14ac:dyDescent="0.25">
      <c r="B73" s="26" t="s">
        <v>546</v>
      </c>
      <c r="C73" s="17">
        <f>SUM(CORPpl!D18:Q18)-SUM(D73:Q73)</f>
        <v>0</v>
      </c>
      <c r="D73" s="18">
        <f>CORPpl!D18</f>
        <v>0</v>
      </c>
      <c r="E73" s="18">
        <f>CORPpl!E18</f>
        <v>0</v>
      </c>
      <c r="F73" s="18">
        <f>CORPpl!F18</f>
        <v>46.234999999999999</v>
      </c>
      <c r="G73" s="18">
        <f>CORPpl!G18</f>
        <v>0</v>
      </c>
      <c r="H73" s="18">
        <f>CORPpl!H18</f>
        <v>0</v>
      </c>
      <c r="I73" s="18">
        <f>CORPpl!I18</f>
        <v>0</v>
      </c>
      <c r="J73" s="18">
        <f>CORPpl!J18</f>
        <v>0</v>
      </c>
      <c r="K73" s="18">
        <f>CORPpl!K18</f>
        <v>0</v>
      </c>
      <c r="L73" s="18">
        <f>CORPpl!L18</f>
        <v>0</v>
      </c>
      <c r="M73" s="18">
        <f>CORPpl!M18</f>
        <v>0</v>
      </c>
      <c r="N73" s="18">
        <f>CORPpl!N18</f>
        <v>0</v>
      </c>
      <c r="O73" s="18">
        <f>CORPpl!O18</f>
        <v>0</v>
      </c>
      <c r="P73" s="18">
        <f>CORPpl!P18</f>
        <v>0</v>
      </c>
      <c r="Q73" s="18">
        <f>CORPpl!Q18</f>
        <v>0</v>
      </c>
      <c r="R73" s="21"/>
    </row>
    <row r="74" spans="1:20" s="27" customFormat="1" hidden="1" outlineLevel="1" x14ac:dyDescent="0.25">
      <c r="C74" s="6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1"/>
    </row>
    <row r="75" spans="1:20" s="19" customFormat="1" collapsed="1" x14ac:dyDescent="0.25">
      <c r="A75" s="19" t="s">
        <v>627</v>
      </c>
      <c r="C75" s="15">
        <f>SUM(D75:Q75)-SUM(D76:Q78)</f>
        <v>0</v>
      </c>
      <c r="D75" s="22">
        <f t="shared" ref="D75:Q75" si="32">SUM(D76:D78)</f>
        <v>-70314.964000000007</v>
      </c>
      <c r="E75" s="22">
        <f t="shared" si="32"/>
        <v>-130518.76199999999</v>
      </c>
      <c r="F75" s="22">
        <f t="shared" si="32"/>
        <v>-55105.508999999991</v>
      </c>
      <c r="G75" s="22">
        <f t="shared" si="32"/>
        <v>-27308.293152499453</v>
      </c>
      <c r="H75" s="22">
        <f t="shared" si="32"/>
        <v>-14557.488436854606</v>
      </c>
      <c r="I75" s="22">
        <f t="shared" si="32"/>
        <v>-5936.8553559239035</v>
      </c>
      <c r="J75" s="22">
        <f t="shared" si="32"/>
        <v>-5936.8553559239035</v>
      </c>
      <c r="K75" s="22">
        <f t="shared" si="32"/>
        <v>-5936.8553559239035</v>
      </c>
      <c r="L75" s="22">
        <f t="shared" si="32"/>
        <v>-5936.8553559239035</v>
      </c>
      <c r="M75" s="22">
        <f t="shared" si="32"/>
        <v>-17759.994975695612</v>
      </c>
      <c r="N75" s="22">
        <f t="shared" si="32"/>
        <v>-13000.396356543653</v>
      </c>
      <c r="O75" s="22">
        <f t="shared" si="32"/>
        <v>-12672.598989367365</v>
      </c>
      <c r="P75" s="22">
        <f t="shared" si="32"/>
        <v>-13668.854790231344</v>
      </c>
      <c r="Q75" s="22">
        <f t="shared" si="32"/>
        <v>-25773.77244655259</v>
      </c>
      <c r="R75" s="21"/>
    </row>
    <row r="76" spans="1:20" s="19" customFormat="1" hidden="1" outlineLevel="1" x14ac:dyDescent="0.25">
      <c r="B76" s="19" t="s">
        <v>544</v>
      </c>
      <c r="C76" s="17">
        <f>SUM(Biz1pl!D19:Q19)-SUM(D76:Q76)</f>
        <v>0</v>
      </c>
      <c r="D76" s="20">
        <f t="shared" ref="D76:Q76" si="33">D66+D71</f>
        <v>-26066.690000000006</v>
      </c>
      <c r="E76" s="20">
        <f t="shared" si="33"/>
        <v>-42776.092000000004</v>
      </c>
      <c r="F76" s="20">
        <f t="shared" si="33"/>
        <v>-24441.075999999997</v>
      </c>
      <c r="G76" s="20">
        <f t="shared" si="33"/>
        <v>2652.9778475005414</v>
      </c>
      <c r="H76" s="20">
        <f t="shared" si="33"/>
        <v>16662.980450096409</v>
      </c>
      <c r="I76" s="20">
        <f t="shared" si="33"/>
        <v>4112.408893489961</v>
      </c>
      <c r="J76" s="20">
        <f t="shared" si="33"/>
        <v>4112.408893489961</v>
      </c>
      <c r="K76" s="20">
        <f t="shared" si="33"/>
        <v>4112.408893489961</v>
      </c>
      <c r="L76" s="20">
        <f t="shared" si="33"/>
        <v>4112.408893489961</v>
      </c>
      <c r="M76" s="20">
        <f t="shared" si="33"/>
        <v>17195.234804959844</v>
      </c>
      <c r="N76" s="20">
        <f t="shared" si="33"/>
        <v>23674.365157854954</v>
      </c>
      <c r="O76" s="20">
        <f t="shared" si="33"/>
        <v>25080.493248299703</v>
      </c>
      <c r="P76" s="20">
        <f t="shared" si="33"/>
        <v>23986.961708435723</v>
      </c>
      <c r="Q76" s="20">
        <f t="shared" si="33"/>
        <v>11882.044052114477</v>
      </c>
      <c r="R76" s="21"/>
      <c r="T76" s="20"/>
    </row>
    <row r="77" spans="1:20" s="19" customFormat="1" hidden="1" outlineLevel="1" x14ac:dyDescent="0.25">
      <c r="B77" s="19" t="s">
        <v>545</v>
      </c>
      <c r="C77" s="17">
        <f>SUM(Biz2pl!D19:Q19)-SUM(D77:Q77)</f>
        <v>0</v>
      </c>
      <c r="D77" s="20">
        <f t="shared" ref="D77:Q77" si="34">D67+D72</f>
        <v>-6254.9640000000018</v>
      </c>
      <c r="E77" s="20">
        <f t="shared" si="34"/>
        <v>1243.3009999999995</v>
      </c>
      <c r="F77" s="20">
        <f t="shared" si="34"/>
        <v>974.42100000000084</v>
      </c>
      <c r="G77" s="20">
        <f t="shared" si="34"/>
        <v>-455.68100000000072</v>
      </c>
      <c r="H77" s="20">
        <f t="shared" si="34"/>
        <v>-947.97047499999951</v>
      </c>
      <c r="I77" s="20">
        <f t="shared" si="34"/>
        <v>67.91565186559923</v>
      </c>
      <c r="J77" s="20">
        <f t="shared" si="34"/>
        <v>67.91565186559923</v>
      </c>
      <c r="K77" s="20">
        <f t="shared" si="34"/>
        <v>67.91565186559923</v>
      </c>
      <c r="L77" s="20">
        <f t="shared" si="34"/>
        <v>67.91565186559923</v>
      </c>
      <c r="M77" s="20">
        <f t="shared" si="34"/>
        <v>563.48982446239688</v>
      </c>
      <c r="N77" s="20">
        <f t="shared" si="34"/>
        <v>468.4460691273456</v>
      </c>
      <c r="O77" s="20">
        <f t="shared" si="34"/>
        <v>135.10183729050641</v>
      </c>
      <c r="P77" s="20">
        <f t="shared" si="34"/>
        <v>232.37757629050645</v>
      </c>
      <c r="Q77" s="20">
        <f t="shared" si="34"/>
        <v>232.37757629050645</v>
      </c>
      <c r="R77" s="21"/>
    </row>
    <row r="78" spans="1:20" s="19" customFormat="1" hidden="1" outlineLevel="1" x14ac:dyDescent="0.25">
      <c r="B78" s="19" t="s">
        <v>546</v>
      </c>
      <c r="C78" s="17">
        <f>SUM(CORPpl!D19:Q19)-SUM(D78:Q78)</f>
        <v>0</v>
      </c>
      <c r="D78" s="20">
        <f t="shared" ref="D78:Q78" si="35">D68+D73</f>
        <v>-37993.30999999999</v>
      </c>
      <c r="E78" s="20">
        <f t="shared" si="35"/>
        <v>-88985.97099999999</v>
      </c>
      <c r="F78" s="20">
        <f t="shared" si="35"/>
        <v>-31638.853999999999</v>
      </c>
      <c r="G78" s="20">
        <f t="shared" si="35"/>
        <v>-29505.589999999993</v>
      </c>
      <c r="H78" s="20">
        <f t="shared" si="35"/>
        <v>-30272.498411951015</v>
      </c>
      <c r="I78" s="20">
        <f t="shared" si="35"/>
        <v>-10117.179901279464</v>
      </c>
      <c r="J78" s="20">
        <f t="shared" si="35"/>
        <v>-10117.179901279464</v>
      </c>
      <c r="K78" s="20">
        <f t="shared" si="35"/>
        <v>-10117.179901279464</v>
      </c>
      <c r="L78" s="20">
        <f t="shared" si="35"/>
        <v>-10117.179901279464</v>
      </c>
      <c r="M78" s="20">
        <f t="shared" si="35"/>
        <v>-35518.719605117854</v>
      </c>
      <c r="N78" s="20">
        <f t="shared" si="35"/>
        <v>-37143.207583525953</v>
      </c>
      <c r="O78" s="20">
        <f t="shared" si="35"/>
        <v>-37888.194074957573</v>
      </c>
      <c r="P78" s="20">
        <f t="shared" si="35"/>
        <v>-37888.194074957573</v>
      </c>
      <c r="Q78" s="20">
        <f t="shared" si="35"/>
        <v>-37888.194074957573</v>
      </c>
      <c r="R78" s="21"/>
    </row>
    <row r="79" spans="1:20" s="19" customFormat="1" hidden="1" outlineLevel="1" x14ac:dyDescent="0.25">
      <c r="C79" s="2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</row>
    <row r="80" spans="1:20" s="14" customFormat="1" collapsed="1" x14ac:dyDescent="0.25">
      <c r="B80" s="14" t="s">
        <v>14</v>
      </c>
      <c r="C80" s="15">
        <f>SUM(D80:Q80)-SUM(D81:Q83)</f>
        <v>0</v>
      </c>
      <c r="D80" s="16">
        <f t="shared" ref="D80:Q80" si="36">SUM(D81:D83)</f>
        <v>3182.0830000000001</v>
      </c>
      <c r="E80" s="16">
        <f t="shared" si="36"/>
        <v>1472</v>
      </c>
      <c r="F80" s="16">
        <f t="shared" si="36"/>
        <v>-4053.9949999999999</v>
      </c>
      <c r="G80" s="16">
        <f t="shared" si="36"/>
        <v>-2100.6109999999999</v>
      </c>
      <c r="H80" s="16">
        <f t="shared" si="36"/>
        <v>-3993.1926828426281</v>
      </c>
      <c r="I80" s="16">
        <f t="shared" si="36"/>
        <v>-746.03323993622917</v>
      </c>
      <c r="J80" s="16">
        <f t="shared" si="36"/>
        <v>-746.03323993622917</v>
      </c>
      <c r="K80" s="16">
        <f t="shared" si="36"/>
        <v>-746.03323993622917</v>
      </c>
      <c r="L80" s="16">
        <f t="shared" si="36"/>
        <v>-746.03323993622917</v>
      </c>
      <c r="M80" s="16">
        <f t="shared" si="36"/>
        <v>-2984.1329597449167</v>
      </c>
      <c r="N80" s="16">
        <f t="shared" si="36"/>
        <v>-4591.3280806470393</v>
      </c>
      <c r="O80" s="16">
        <f t="shared" si="36"/>
        <v>-4942.3488362115768</v>
      </c>
      <c r="P80" s="16">
        <f t="shared" si="36"/>
        <v>-5087.8736229105234</v>
      </c>
      <c r="Q80" s="16">
        <f t="shared" si="36"/>
        <v>-3651.9293989228286</v>
      </c>
      <c r="R80" s="21"/>
    </row>
    <row r="81" spans="1:20" s="14" customFormat="1" hidden="1" outlineLevel="1" x14ac:dyDescent="0.25">
      <c r="B81" s="14" t="s">
        <v>544</v>
      </c>
      <c r="C81" s="17">
        <f>SUM(Biz1pl!D20:Q20)-SUM(D81:Q81)</f>
        <v>0</v>
      </c>
      <c r="D81" s="18">
        <f>Biz1pl!D20</f>
        <v>3182.0830000000001</v>
      </c>
      <c r="E81" s="18">
        <f>Biz1pl!E20</f>
        <v>1472</v>
      </c>
      <c r="F81" s="18">
        <f>Biz1pl!F20</f>
        <v>-4053.9949999999999</v>
      </c>
      <c r="G81" s="18">
        <f>Biz1pl!G20</f>
        <v>-2100.6109999999999</v>
      </c>
      <c r="H81" s="18">
        <f>Biz1pl!H20</f>
        <v>-3993.1926828426281</v>
      </c>
      <c r="I81" s="18">
        <f>Biz1pl!I20</f>
        <v>-746.03323993622917</v>
      </c>
      <c r="J81" s="18">
        <f>Biz1pl!J20</f>
        <v>-746.03323993622917</v>
      </c>
      <c r="K81" s="18">
        <f>Biz1pl!K20</f>
        <v>-746.03323993622917</v>
      </c>
      <c r="L81" s="18">
        <f>Biz1pl!L20</f>
        <v>-746.03323993622917</v>
      </c>
      <c r="M81" s="18">
        <f>Biz1pl!M20</f>
        <v>-2984.1329597449167</v>
      </c>
      <c r="N81" s="18">
        <f>Biz1pl!N20</f>
        <v>-4591.3280806470393</v>
      </c>
      <c r="O81" s="18">
        <f>Biz1pl!O20</f>
        <v>-4942.3488362115768</v>
      </c>
      <c r="P81" s="18">
        <f>Biz1pl!P20</f>
        <v>-5087.8736229105234</v>
      </c>
      <c r="Q81" s="18">
        <f>Biz1pl!Q20</f>
        <v>-3651.9293989228286</v>
      </c>
      <c r="R81" s="21"/>
    </row>
    <row r="82" spans="1:20" s="14" customFormat="1" hidden="1" outlineLevel="1" x14ac:dyDescent="0.25">
      <c r="B82" s="14" t="s">
        <v>545</v>
      </c>
      <c r="C82" s="17">
        <f>SUM(Biz2pl!D20:Q20)-SUM(D82:Q82)</f>
        <v>0</v>
      </c>
      <c r="D82" s="18">
        <f>Biz2pl!D20</f>
        <v>0</v>
      </c>
      <c r="E82" s="18">
        <f>Biz2pl!E20</f>
        <v>0</v>
      </c>
      <c r="F82" s="18">
        <f>Biz2pl!F20</f>
        <v>0</v>
      </c>
      <c r="G82" s="18">
        <f>Biz2pl!G20</f>
        <v>0</v>
      </c>
      <c r="H82" s="18">
        <f>Biz2pl!H20</f>
        <v>0</v>
      </c>
      <c r="I82" s="18">
        <f>Biz2pl!I20</f>
        <v>0</v>
      </c>
      <c r="J82" s="18">
        <f>Biz2pl!J20</f>
        <v>0</v>
      </c>
      <c r="K82" s="18">
        <f>Biz2pl!K20</f>
        <v>0</v>
      </c>
      <c r="L82" s="18">
        <f>Biz2pl!L20</f>
        <v>0</v>
      </c>
      <c r="M82" s="18">
        <f>Biz2pl!M20</f>
        <v>0</v>
      </c>
      <c r="N82" s="18">
        <f>Biz2pl!N20</f>
        <v>0</v>
      </c>
      <c r="O82" s="18">
        <f>Biz2pl!O20</f>
        <v>0</v>
      </c>
      <c r="P82" s="18">
        <f>Biz2pl!P20</f>
        <v>0</v>
      </c>
      <c r="Q82" s="18">
        <f>Biz2pl!Q20</f>
        <v>0</v>
      </c>
      <c r="R82" s="21"/>
    </row>
    <row r="83" spans="1:20" s="26" customFormat="1" hidden="1" outlineLevel="1" x14ac:dyDescent="0.25">
      <c r="B83" s="26" t="s">
        <v>546</v>
      </c>
      <c r="C83" s="17">
        <f>SUM(CORPpl!D20:Q20)-SUM(D83:Q83)</f>
        <v>0</v>
      </c>
      <c r="D83" s="18">
        <f>CORPpl!D20</f>
        <v>0</v>
      </c>
      <c r="E83" s="18">
        <f>CORPpl!E20</f>
        <v>0</v>
      </c>
      <c r="F83" s="18">
        <f>CORPpl!F20</f>
        <v>0</v>
      </c>
      <c r="G83" s="18">
        <f>CORPpl!G20</f>
        <v>0</v>
      </c>
      <c r="H83" s="18">
        <f>CORPpl!H20</f>
        <v>0</v>
      </c>
      <c r="I83" s="18">
        <f>CORPpl!I20</f>
        <v>0</v>
      </c>
      <c r="J83" s="18">
        <f>CORPpl!J20</f>
        <v>0</v>
      </c>
      <c r="K83" s="18">
        <f>CORPpl!K20</f>
        <v>0</v>
      </c>
      <c r="L83" s="18">
        <f>CORPpl!L20</f>
        <v>0</v>
      </c>
      <c r="M83" s="18">
        <f>CORPpl!M20</f>
        <v>0</v>
      </c>
      <c r="N83" s="18">
        <f>CORPpl!N20</f>
        <v>0</v>
      </c>
      <c r="O83" s="18">
        <f>CORPpl!O20</f>
        <v>0</v>
      </c>
      <c r="P83" s="18">
        <f>CORPpl!P20</f>
        <v>0</v>
      </c>
      <c r="Q83" s="18">
        <f>CORPpl!Q20</f>
        <v>0</v>
      </c>
      <c r="R83" s="21"/>
    </row>
    <row r="84" spans="1:20" s="27" customFormat="1" hidden="1" outlineLevel="1" x14ac:dyDescent="0.25">
      <c r="C84" s="6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1"/>
    </row>
    <row r="85" spans="1:20" s="19" customFormat="1" collapsed="1" x14ac:dyDescent="0.25">
      <c r="A85" s="19" t="s">
        <v>13</v>
      </c>
      <c r="C85" s="15">
        <f>SUM(D85:Q85)-SUM(D86:Q88)</f>
        <v>0</v>
      </c>
      <c r="D85" s="22">
        <f t="shared" ref="D85:Q85" si="37">SUM(D86:D88)</f>
        <v>-67132.880999999994</v>
      </c>
      <c r="E85" s="22">
        <f t="shared" si="37"/>
        <v>-129046.76199999999</v>
      </c>
      <c r="F85" s="22">
        <f t="shared" si="37"/>
        <v>-59159.503999999994</v>
      </c>
      <c r="G85" s="22">
        <f t="shared" si="37"/>
        <v>-29408.904152499454</v>
      </c>
      <c r="H85" s="22">
        <f t="shared" si="37"/>
        <v>-18550.681119697234</v>
      </c>
      <c r="I85" s="22">
        <f t="shared" si="37"/>
        <v>-6682.8885958601331</v>
      </c>
      <c r="J85" s="22">
        <f t="shared" si="37"/>
        <v>-6682.8885958601331</v>
      </c>
      <c r="K85" s="22">
        <f t="shared" si="37"/>
        <v>-6682.8885958601331</v>
      </c>
      <c r="L85" s="22">
        <f t="shared" si="37"/>
        <v>-6682.8885958601331</v>
      </c>
      <c r="M85" s="22">
        <f t="shared" si="37"/>
        <v>-20744.127935440531</v>
      </c>
      <c r="N85" s="22">
        <f t="shared" si="37"/>
        <v>-17591.724437190693</v>
      </c>
      <c r="O85" s="22">
        <f t="shared" si="37"/>
        <v>-17614.94782557894</v>
      </c>
      <c r="P85" s="22">
        <f t="shared" si="37"/>
        <v>-18756.728413141867</v>
      </c>
      <c r="Q85" s="22">
        <f t="shared" si="37"/>
        <v>-29425.701845475418</v>
      </c>
      <c r="R85" s="21"/>
    </row>
    <row r="86" spans="1:20" s="19" customFormat="1" hidden="1" outlineLevel="1" x14ac:dyDescent="0.25">
      <c r="B86" s="19" t="s">
        <v>544</v>
      </c>
      <c r="C86" s="17">
        <f>SUM(Biz1pl!D21:Q21)-SUM(D86:Q86)</f>
        <v>0</v>
      </c>
      <c r="D86" s="20">
        <f t="shared" ref="D86:Q86" si="38">D76+D81</f>
        <v>-22884.607000000007</v>
      </c>
      <c r="E86" s="20">
        <f t="shared" si="38"/>
        <v>-41304.092000000004</v>
      </c>
      <c r="F86" s="20">
        <f t="shared" si="38"/>
        <v>-28495.070999999996</v>
      </c>
      <c r="G86" s="20">
        <f t="shared" si="38"/>
        <v>552.36684750054155</v>
      </c>
      <c r="H86" s="20">
        <f t="shared" si="38"/>
        <v>12669.787767253782</v>
      </c>
      <c r="I86" s="20">
        <f t="shared" si="38"/>
        <v>3366.3756535537318</v>
      </c>
      <c r="J86" s="20">
        <f t="shared" si="38"/>
        <v>3366.3756535537318</v>
      </c>
      <c r="K86" s="20">
        <f t="shared" si="38"/>
        <v>3366.3756535537318</v>
      </c>
      <c r="L86" s="20">
        <f t="shared" si="38"/>
        <v>3366.3756535537318</v>
      </c>
      <c r="M86" s="20">
        <f t="shared" si="38"/>
        <v>14211.101845214927</v>
      </c>
      <c r="N86" s="20">
        <f t="shared" si="38"/>
        <v>19083.037077207915</v>
      </c>
      <c r="O86" s="20">
        <f t="shared" si="38"/>
        <v>20138.144412088128</v>
      </c>
      <c r="P86" s="20">
        <f t="shared" si="38"/>
        <v>18899.0880855252</v>
      </c>
      <c r="Q86" s="20">
        <f t="shared" si="38"/>
        <v>8230.1146531916493</v>
      </c>
      <c r="R86" s="21"/>
    </row>
    <row r="87" spans="1:20" s="19" customFormat="1" hidden="1" outlineLevel="1" x14ac:dyDescent="0.25">
      <c r="B87" s="19" t="s">
        <v>545</v>
      </c>
      <c r="C87" s="17">
        <f>SUM(Biz2pl!D21:Q21)-SUM(D87:Q87)</f>
        <v>0</v>
      </c>
      <c r="D87" s="20">
        <f t="shared" ref="D87:Q87" si="39">D77+D82</f>
        <v>-6254.9640000000018</v>
      </c>
      <c r="E87" s="20">
        <f t="shared" si="39"/>
        <v>1243.3009999999995</v>
      </c>
      <c r="F87" s="20">
        <f t="shared" si="39"/>
        <v>974.42100000000084</v>
      </c>
      <c r="G87" s="20">
        <f t="shared" si="39"/>
        <v>-455.68100000000072</v>
      </c>
      <c r="H87" s="20">
        <f t="shared" si="39"/>
        <v>-947.97047499999951</v>
      </c>
      <c r="I87" s="20">
        <f t="shared" si="39"/>
        <v>67.91565186559923</v>
      </c>
      <c r="J87" s="20">
        <f t="shared" si="39"/>
        <v>67.91565186559923</v>
      </c>
      <c r="K87" s="20">
        <f t="shared" si="39"/>
        <v>67.91565186559923</v>
      </c>
      <c r="L87" s="20">
        <f t="shared" si="39"/>
        <v>67.91565186559923</v>
      </c>
      <c r="M87" s="20">
        <f t="shared" si="39"/>
        <v>563.48982446239688</v>
      </c>
      <c r="N87" s="20">
        <f t="shared" si="39"/>
        <v>468.4460691273456</v>
      </c>
      <c r="O87" s="20">
        <f t="shared" si="39"/>
        <v>135.10183729050641</v>
      </c>
      <c r="P87" s="20">
        <f t="shared" si="39"/>
        <v>232.37757629050645</v>
      </c>
      <c r="Q87" s="20">
        <f t="shared" si="39"/>
        <v>232.37757629050645</v>
      </c>
      <c r="R87" s="21"/>
    </row>
    <row r="88" spans="1:20" s="19" customFormat="1" hidden="1" outlineLevel="1" x14ac:dyDescent="0.25">
      <c r="B88" s="19" t="s">
        <v>546</v>
      </c>
      <c r="C88" s="17">
        <f>SUM(CORPpl!D21:Q21)-SUM(D88:Q88)</f>
        <v>0</v>
      </c>
      <c r="D88" s="20">
        <f t="shared" ref="D88:Q88" si="40">D78+D83</f>
        <v>-37993.30999999999</v>
      </c>
      <c r="E88" s="20">
        <f t="shared" si="40"/>
        <v>-88985.97099999999</v>
      </c>
      <c r="F88" s="20">
        <f t="shared" si="40"/>
        <v>-31638.853999999999</v>
      </c>
      <c r="G88" s="20">
        <f t="shared" si="40"/>
        <v>-29505.589999999993</v>
      </c>
      <c r="H88" s="20">
        <f t="shared" si="40"/>
        <v>-30272.498411951015</v>
      </c>
      <c r="I88" s="20">
        <f t="shared" si="40"/>
        <v>-10117.179901279464</v>
      </c>
      <c r="J88" s="20">
        <f t="shared" si="40"/>
        <v>-10117.179901279464</v>
      </c>
      <c r="K88" s="20">
        <f t="shared" si="40"/>
        <v>-10117.179901279464</v>
      </c>
      <c r="L88" s="20">
        <f t="shared" si="40"/>
        <v>-10117.179901279464</v>
      </c>
      <c r="M88" s="20">
        <f t="shared" si="40"/>
        <v>-35518.719605117854</v>
      </c>
      <c r="N88" s="20">
        <f t="shared" si="40"/>
        <v>-37143.207583525953</v>
      </c>
      <c r="O88" s="20">
        <f t="shared" si="40"/>
        <v>-37888.194074957573</v>
      </c>
      <c r="P88" s="20">
        <f t="shared" si="40"/>
        <v>-37888.194074957573</v>
      </c>
      <c r="Q88" s="20">
        <f t="shared" si="40"/>
        <v>-37888.194074957573</v>
      </c>
      <c r="R88" s="21"/>
    </row>
    <row r="89" spans="1:20" s="19" customFormat="1" hidden="1" outlineLevel="1" x14ac:dyDescent="0.25">
      <c r="C89" s="2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</row>
    <row r="90" spans="1:20" s="19" customFormat="1" collapsed="1" x14ac:dyDescent="0.25">
      <c r="A90" s="19" t="s">
        <v>18</v>
      </c>
      <c r="C90" s="15">
        <f>SUM(D90:Q90)-SUM(D91:Q93)</f>
        <v>0</v>
      </c>
      <c r="D90" s="22">
        <f t="shared" ref="D90:Q90" si="41">SUM(D91:D93)</f>
        <v>-32956.587</v>
      </c>
      <c r="E90" s="22">
        <f t="shared" si="41"/>
        <v>-89267.747000000003</v>
      </c>
      <c r="F90" s="22">
        <f t="shared" si="41"/>
        <v>-15578.971999999998</v>
      </c>
      <c r="G90" s="22">
        <f t="shared" si="41"/>
        <v>-3334.5720013744553</v>
      </c>
      <c r="H90" s="22">
        <f t="shared" si="41"/>
        <v>6753.128038145398</v>
      </c>
      <c r="I90" s="22">
        <f t="shared" si="41"/>
        <v>-546.19211092390378</v>
      </c>
      <c r="J90" s="22">
        <f t="shared" si="41"/>
        <v>-546.19211092390378</v>
      </c>
      <c r="K90" s="22">
        <f t="shared" si="41"/>
        <v>-546.19211092390378</v>
      </c>
      <c r="L90" s="22">
        <f t="shared" si="41"/>
        <v>-546.19211092390378</v>
      </c>
      <c r="M90" s="22">
        <f t="shared" si="41"/>
        <v>2204.105769304384</v>
      </c>
      <c r="N90" s="22">
        <f t="shared" si="41"/>
        <v>6749.4825934563487</v>
      </c>
      <c r="O90" s="22">
        <f t="shared" si="41"/>
        <v>7127.2799606326334</v>
      </c>
      <c r="P90" s="22">
        <f t="shared" si="41"/>
        <v>5512.3952097686524</v>
      </c>
      <c r="Q90" s="22">
        <f t="shared" si="41"/>
        <v>-6592.5224465525935</v>
      </c>
      <c r="R90" s="21"/>
    </row>
    <row r="91" spans="1:20" s="19" customFormat="1" hidden="1" outlineLevel="1" x14ac:dyDescent="0.25">
      <c r="B91" s="19" t="s">
        <v>544</v>
      </c>
      <c r="C91" s="17">
        <f>SUM(Biz1pl!D22:Q22)-SUM(D91:Q91)</f>
        <v>0</v>
      </c>
      <c r="D91" s="20">
        <f t="shared" ref="D91:Q91" si="42">D46-D61</f>
        <v>-26209.611000000004</v>
      </c>
      <c r="E91" s="20">
        <f t="shared" si="42"/>
        <v>-38978.47</v>
      </c>
      <c r="F91" s="20">
        <f t="shared" si="42"/>
        <v>-21966.055</v>
      </c>
      <c r="G91" s="20">
        <f t="shared" si="42"/>
        <v>3845.1459986255413</v>
      </c>
      <c r="H91" s="20">
        <f t="shared" si="42"/>
        <v>17829.627575096412</v>
      </c>
      <c r="I91" s="20">
        <f t="shared" si="42"/>
        <v>4464.1306884899604</v>
      </c>
      <c r="J91" s="20">
        <f t="shared" si="42"/>
        <v>4464.1306884899604</v>
      </c>
      <c r="K91" s="20">
        <f t="shared" si="42"/>
        <v>4464.1306884899604</v>
      </c>
      <c r="L91" s="20">
        <f t="shared" si="42"/>
        <v>4464.1306884899604</v>
      </c>
      <c r="M91" s="20">
        <f t="shared" si="42"/>
        <v>17359.456599959842</v>
      </c>
      <c r="N91" s="20">
        <f t="shared" si="42"/>
        <v>23624.365157854954</v>
      </c>
      <c r="O91" s="20">
        <f t="shared" si="42"/>
        <v>25080.493248299703</v>
      </c>
      <c r="P91" s="20">
        <f t="shared" si="42"/>
        <v>23486.961708435723</v>
      </c>
      <c r="Q91" s="20">
        <f t="shared" si="42"/>
        <v>11382.044052114477</v>
      </c>
      <c r="R91" s="21"/>
    </row>
    <row r="92" spans="1:20" s="19" customFormat="1" hidden="1" outlineLevel="1" x14ac:dyDescent="0.25">
      <c r="B92" s="19" t="s">
        <v>545</v>
      </c>
      <c r="C92" s="17">
        <f>SUM(Biz2pl!D22:Q22)-SUM(D92:Q92)</f>
        <v>0</v>
      </c>
      <c r="D92" s="20">
        <f t="shared" ref="D92:Q92" si="43">D47-D62</f>
        <v>-345.91100000000051</v>
      </c>
      <c r="E92" s="20">
        <f t="shared" si="43"/>
        <v>5908.0159999999996</v>
      </c>
      <c r="F92" s="20">
        <f t="shared" si="43"/>
        <v>2817.1720000000009</v>
      </c>
      <c r="G92" s="20">
        <f t="shared" si="43"/>
        <v>-125.30900000000071</v>
      </c>
      <c r="H92" s="20">
        <f t="shared" si="43"/>
        <v>-830.54799999999955</v>
      </c>
      <c r="I92" s="20">
        <f t="shared" si="43"/>
        <v>186.54460186559925</v>
      </c>
      <c r="J92" s="20">
        <f t="shared" si="43"/>
        <v>186.54460186559925</v>
      </c>
      <c r="K92" s="20">
        <f t="shared" si="43"/>
        <v>186.54460186559925</v>
      </c>
      <c r="L92" s="20">
        <f t="shared" si="43"/>
        <v>186.54460186559925</v>
      </c>
      <c r="M92" s="20">
        <f t="shared" si="43"/>
        <v>682.11877446239691</v>
      </c>
      <c r="N92" s="20">
        <f t="shared" si="43"/>
        <v>587.07501912734563</v>
      </c>
      <c r="O92" s="20">
        <f t="shared" si="43"/>
        <v>253.73078729050644</v>
      </c>
      <c r="P92" s="20">
        <f t="shared" si="43"/>
        <v>232.37757629050645</v>
      </c>
      <c r="Q92" s="20">
        <f t="shared" si="43"/>
        <v>232.37757629050645</v>
      </c>
      <c r="R92" s="21"/>
    </row>
    <row r="93" spans="1:20" s="19" customFormat="1" hidden="1" outlineLevel="1" x14ac:dyDescent="0.25">
      <c r="B93" s="19" t="s">
        <v>546</v>
      </c>
      <c r="C93" s="17">
        <f>SUM(CORPpl!D22:Q22)-SUM(D93:Q93)</f>
        <v>0</v>
      </c>
      <c r="D93" s="20">
        <f t="shared" ref="D93:Q93" si="44">D48-D63</f>
        <v>-6401.0649999999951</v>
      </c>
      <c r="E93" s="20">
        <f t="shared" si="44"/>
        <v>-56197.292999999998</v>
      </c>
      <c r="F93" s="20">
        <f t="shared" si="44"/>
        <v>3569.9110000000001</v>
      </c>
      <c r="G93" s="20">
        <f t="shared" si="44"/>
        <v>-7054.408999999996</v>
      </c>
      <c r="H93" s="20">
        <f t="shared" si="44"/>
        <v>-10245.951536951015</v>
      </c>
      <c r="I93" s="20">
        <f t="shared" si="44"/>
        <v>-5196.8674012794636</v>
      </c>
      <c r="J93" s="20">
        <f t="shared" si="44"/>
        <v>-5196.8674012794636</v>
      </c>
      <c r="K93" s="20">
        <f t="shared" si="44"/>
        <v>-5196.8674012794636</v>
      </c>
      <c r="L93" s="20">
        <f t="shared" si="44"/>
        <v>-5196.8674012794636</v>
      </c>
      <c r="M93" s="20">
        <f t="shared" si="44"/>
        <v>-15837.469605117854</v>
      </c>
      <c r="N93" s="20">
        <f t="shared" si="44"/>
        <v>-17461.957583525953</v>
      </c>
      <c r="O93" s="20">
        <f t="shared" si="44"/>
        <v>-18206.944074957577</v>
      </c>
      <c r="P93" s="20">
        <f t="shared" si="44"/>
        <v>-18206.944074957577</v>
      </c>
      <c r="Q93" s="20">
        <f t="shared" si="44"/>
        <v>-18206.944074957577</v>
      </c>
      <c r="R93" s="21"/>
    </row>
    <row r="94" spans="1:20" s="19" customFormat="1" hidden="1" outlineLevel="1" x14ac:dyDescent="0.25">
      <c r="C94" s="2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</row>
    <row r="95" spans="1:20" s="14" customFormat="1" collapsed="1" x14ac:dyDescent="0.25">
      <c r="B95" s="14" t="s">
        <v>19</v>
      </c>
      <c r="C95" s="15">
        <f>SUM(D95:Q95)-SUM(D96:Q98)</f>
        <v>0</v>
      </c>
      <c r="D95" s="16">
        <f t="shared" ref="D95:Q95" si="45">SUM(D96:D98)</f>
        <v>-26491</v>
      </c>
      <c r="E95" s="16">
        <f t="shared" si="45"/>
        <v>-11807</v>
      </c>
      <c r="F95" s="16">
        <f t="shared" si="45"/>
        <v>-12359</v>
      </c>
      <c r="G95" s="16">
        <f t="shared" si="45"/>
        <v>-22455</v>
      </c>
      <c r="H95" s="16">
        <f t="shared" si="45"/>
        <v>-21456</v>
      </c>
      <c r="I95" s="16">
        <f t="shared" si="45"/>
        <v>-3750</v>
      </c>
      <c r="J95" s="16">
        <f t="shared" si="45"/>
        <v>-3750</v>
      </c>
      <c r="K95" s="16">
        <f t="shared" si="45"/>
        <v>-3750</v>
      </c>
      <c r="L95" s="16">
        <f t="shared" si="45"/>
        <v>-3750</v>
      </c>
      <c r="M95" s="16">
        <f t="shared" si="45"/>
        <v>-16500</v>
      </c>
      <c r="N95" s="16">
        <f t="shared" si="45"/>
        <v>-17500</v>
      </c>
      <c r="O95" s="16">
        <f t="shared" si="45"/>
        <v>-17500</v>
      </c>
      <c r="P95" s="16">
        <f t="shared" si="45"/>
        <v>-16500</v>
      </c>
      <c r="Q95" s="16">
        <f t="shared" si="45"/>
        <v>-16500</v>
      </c>
      <c r="R95" s="21"/>
      <c r="T95" s="19"/>
    </row>
    <row r="96" spans="1:20" s="14" customFormat="1" hidden="1" outlineLevel="1" x14ac:dyDescent="0.25">
      <c r="B96" s="14" t="s">
        <v>544</v>
      </c>
      <c r="C96" s="17">
        <f>SUM(Biz1pl!D23:Q23)-SUM(D96:Q96)</f>
        <v>0</v>
      </c>
      <c r="D96" s="18">
        <f>Biz1pl!D23</f>
        <v>-19719</v>
      </c>
      <c r="E96" s="18">
        <f>Biz1pl!E23</f>
        <v>-8029</v>
      </c>
      <c r="F96" s="18">
        <f>Biz1pl!F23</f>
        <v>-7702</v>
      </c>
      <c r="G96" s="18">
        <f>Biz1pl!G23</f>
        <v>-19150</v>
      </c>
      <c r="H96" s="18">
        <f>Biz1pl!H23</f>
        <v>-18500</v>
      </c>
      <c r="I96" s="18">
        <f>Biz1pl!I23</f>
        <v>-3250</v>
      </c>
      <c r="J96" s="18">
        <f>Biz1pl!J23</f>
        <v>-3250</v>
      </c>
      <c r="K96" s="18">
        <f>Biz1pl!K23</f>
        <v>-3250</v>
      </c>
      <c r="L96" s="18">
        <f>Biz1pl!L23</f>
        <v>-3250</v>
      </c>
      <c r="M96" s="18">
        <f>Biz1pl!M23</f>
        <v>-13000</v>
      </c>
      <c r="N96" s="18">
        <f>Biz1pl!N23</f>
        <v>-14000</v>
      </c>
      <c r="O96" s="18">
        <f>Biz1pl!O23</f>
        <v>-14000</v>
      </c>
      <c r="P96" s="18">
        <f>Biz1pl!P23</f>
        <v>-14000</v>
      </c>
      <c r="Q96" s="18">
        <f>Biz1pl!Q23</f>
        <v>-14000</v>
      </c>
      <c r="R96" s="21"/>
      <c r="T96" s="19"/>
    </row>
    <row r="97" spans="1:30" s="14" customFormat="1" hidden="1" outlineLevel="1" x14ac:dyDescent="0.25">
      <c r="B97" s="14" t="s">
        <v>545</v>
      </c>
      <c r="C97" s="17">
        <f>SUM(Biz2pl!D23:Q23)-SUM(D97:Q97)</f>
        <v>0</v>
      </c>
      <c r="D97" s="18">
        <f>Biz2pl!D23</f>
        <v>-4393</v>
      </c>
      <c r="E97" s="18">
        <f>Biz2pl!E23</f>
        <v>-1080</v>
      </c>
      <c r="F97" s="18">
        <f>Biz2pl!F23</f>
        <v>-1012</v>
      </c>
      <c r="G97" s="18">
        <f>Biz2pl!G23</f>
        <v>-1805.5</v>
      </c>
      <c r="H97" s="18">
        <f>Biz2pl!H23</f>
        <v>-1456</v>
      </c>
      <c r="I97" s="18">
        <f>Biz2pl!I23</f>
        <v>-500</v>
      </c>
      <c r="J97" s="18">
        <f>Biz2pl!J23</f>
        <v>-500</v>
      </c>
      <c r="K97" s="18">
        <f>Biz2pl!K23</f>
        <v>-500</v>
      </c>
      <c r="L97" s="18">
        <f>Biz2pl!L23</f>
        <v>-500</v>
      </c>
      <c r="M97" s="18">
        <f>Biz2pl!M23</f>
        <v>-2000</v>
      </c>
      <c r="N97" s="18">
        <f>Biz2pl!N23</f>
        <v>-2500</v>
      </c>
      <c r="O97" s="18">
        <f>Biz2pl!O23</f>
        <v>-2500</v>
      </c>
      <c r="P97" s="18">
        <f>Biz2pl!P23</f>
        <v>-2500</v>
      </c>
      <c r="Q97" s="18">
        <f>Biz2pl!Q23</f>
        <v>-2500</v>
      </c>
      <c r="R97" s="21"/>
      <c r="T97" s="19"/>
    </row>
    <row r="98" spans="1:30" s="26" customFormat="1" hidden="1" outlineLevel="1" x14ac:dyDescent="0.25">
      <c r="B98" s="26" t="s">
        <v>546</v>
      </c>
      <c r="C98" s="17">
        <f>SUM(CORPpl!D23:Q23)-SUM(D98:Q98)</f>
        <v>0</v>
      </c>
      <c r="D98" s="18">
        <f>CORPpl!D23</f>
        <v>-2379</v>
      </c>
      <c r="E98" s="18">
        <f>CORPpl!E23</f>
        <v>-2698</v>
      </c>
      <c r="F98" s="18">
        <f>CORPpl!F23</f>
        <v>-3645</v>
      </c>
      <c r="G98" s="18">
        <f>CORPpl!G23</f>
        <v>-1499.5</v>
      </c>
      <c r="H98" s="18">
        <f>CORPpl!H23</f>
        <v>-1500</v>
      </c>
      <c r="I98" s="18">
        <f>CORPpl!I23</f>
        <v>0</v>
      </c>
      <c r="J98" s="18">
        <f>CORPpl!J23</f>
        <v>0</v>
      </c>
      <c r="K98" s="18">
        <f>CORPpl!K23</f>
        <v>0</v>
      </c>
      <c r="L98" s="18">
        <f>CORPpl!L23</f>
        <v>0</v>
      </c>
      <c r="M98" s="18">
        <f>CORPpl!M23</f>
        <v>-1500</v>
      </c>
      <c r="N98" s="18">
        <f>CORPpl!N23</f>
        <v>-1000</v>
      </c>
      <c r="O98" s="18">
        <f>CORPpl!O23</f>
        <v>-1000</v>
      </c>
      <c r="P98" s="18">
        <f>CORPpl!P23</f>
        <v>0</v>
      </c>
      <c r="Q98" s="18">
        <f>CORPpl!Q23</f>
        <v>0</v>
      </c>
      <c r="R98" s="21"/>
      <c r="T98" s="19"/>
    </row>
    <row r="99" spans="1:30" s="27" customFormat="1" hidden="1" outlineLevel="1" x14ac:dyDescent="0.25">
      <c r="C99" s="6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1"/>
      <c r="T99" s="19"/>
    </row>
    <row r="100" spans="1:30" s="14" customFormat="1" collapsed="1" x14ac:dyDescent="0.25">
      <c r="B100" s="14" t="s">
        <v>20</v>
      </c>
      <c r="C100" s="15">
        <f>SUM(D100:Q100)-SUM(D101:Q103)</f>
        <v>0</v>
      </c>
      <c r="D100" s="16">
        <f t="shared" ref="D100:Q100" si="46">SUM(D101:D103)</f>
        <v>0</v>
      </c>
      <c r="E100" s="16">
        <f t="shared" si="46"/>
        <v>14336.220847643905</v>
      </c>
      <c r="F100" s="16">
        <f t="shared" si="46"/>
        <v>252.58754768257359</v>
      </c>
      <c r="G100" s="16">
        <f t="shared" si="46"/>
        <v>-5933.5529048169856</v>
      </c>
      <c r="H100" s="16">
        <f t="shared" si="46"/>
        <v>28281.115776264098</v>
      </c>
      <c r="I100" s="16">
        <f t="shared" si="46"/>
        <v>-1247.5295331652596</v>
      </c>
      <c r="J100" s="16">
        <f t="shared" si="46"/>
        <v>0</v>
      </c>
      <c r="K100" s="16">
        <f t="shared" si="46"/>
        <v>0</v>
      </c>
      <c r="L100" s="16">
        <f t="shared" si="46"/>
        <v>0</v>
      </c>
      <c r="M100" s="16">
        <f t="shared" si="46"/>
        <v>-32780.051217247725</v>
      </c>
      <c r="N100" s="16">
        <f t="shared" si="46"/>
        <v>11907.785051941206</v>
      </c>
      <c r="O100" s="16">
        <f t="shared" si="46"/>
        <v>3278.5896939968916</v>
      </c>
      <c r="P100" s="16">
        <f t="shared" si="46"/>
        <v>7067.0632758795982</v>
      </c>
      <c r="Q100" s="16">
        <f t="shared" si="46"/>
        <v>1515.8723995041364</v>
      </c>
      <c r="R100" s="21"/>
      <c r="T100" s="19"/>
    </row>
    <row r="101" spans="1:30" s="14" customFormat="1" hidden="1" outlineLevel="1" x14ac:dyDescent="0.25">
      <c r="B101" s="14" t="s">
        <v>544</v>
      </c>
      <c r="C101" s="17">
        <f>SUM(Biz1pl!D24:Q24)-SUM(D101:Q101)</f>
        <v>0</v>
      </c>
      <c r="D101" s="18">
        <f>Biz1pl!D24</f>
        <v>0</v>
      </c>
      <c r="E101" s="18">
        <f>Biz1pl!E24</f>
        <v>9581.7895134192077</v>
      </c>
      <c r="F101" s="18">
        <f>Biz1pl!F24</f>
        <v>-1977.4384127410208</v>
      </c>
      <c r="G101" s="18">
        <f>Biz1pl!G24</f>
        <v>-11103.428229854781</v>
      </c>
      <c r="H101" s="18">
        <f>Biz1pl!H24</f>
        <v>18505.677633968855</v>
      </c>
      <c r="I101" s="18">
        <f>Biz1pl!I24</f>
        <v>-1247.5295331652596</v>
      </c>
      <c r="J101" s="18">
        <f>Biz1pl!J24</f>
        <v>0</v>
      </c>
      <c r="K101" s="18">
        <f>Biz1pl!K24</f>
        <v>0</v>
      </c>
      <c r="L101" s="18">
        <f>Biz1pl!L24</f>
        <v>0</v>
      </c>
      <c r="M101" s="18">
        <f>Biz1pl!M24</f>
        <v>-31523.406166051042</v>
      </c>
      <c r="N101" s="18">
        <f>Biz1pl!N24</f>
        <v>6512.5302565970906</v>
      </c>
      <c r="O101" s="18">
        <f>Biz1pl!O24</f>
        <v>-505.91143682941015</v>
      </c>
      <c r="P101" s="18">
        <f>Biz1pl!P24</f>
        <v>6741.6320490855578</v>
      </c>
      <c r="Q101" s="18">
        <f>Biz1pl!Q24</f>
        <v>1854.1423145189183</v>
      </c>
      <c r="R101" s="21"/>
    </row>
    <row r="102" spans="1:30" s="14" customFormat="1" hidden="1" outlineLevel="1" x14ac:dyDescent="0.25">
      <c r="B102" s="14" t="s">
        <v>545</v>
      </c>
      <c r="C102" s="17">
        <f>SUM(Biz2pl!D24:Q24)-SUM(D102:Q102)</f>
        <v>0</v>
      </c>
      <c r="D102" s="18">
        <f>Biz2pl!D24</f>
        <v>0</v>
      </c>
      <c r="E102" s="18">
        <f>Biz2pl!E24</f>
        <v>3430.9313342246969</v>
      </c>
      <c r="F102" s="18">
        <f>Biz2pl!F24</f>
        <v>-1631.0740395764055</v>
      </c>
      <c r="G102" s="18">
        <f>Biz2pl!G24</f>
        <v>-2261.2593537996299</v>
      </c>
      <c r="H102" s="18">
        <f>Biz2pl!H24</f>
        <v>2590.8450839991337</v>
      </c>
      <c r="I102" s="18">
        <f>Biz2pl!I24</f>
        <v>0</v>
      </c>
      <c r="J102" s="18">
        <f>Biz2pl!J24</f>
        <v>0</v>
      </c>
      <c r="K102" s="18">
        <f>Biz2pl!K24</f>
        <v>0</v>
      </c>
      <c r="L102" s="18">
        <f>Biz2pl!L24</f>
        <v>0</v>
      </c>
      <c r="M102" s="18">
        <f>Biz2pl!M24</f>
        <v>-4956.8137970430671</v>
      </c>
      <c r="N102" s="18">
        <f>Biz2pl!N24</f>
        <v>1722.2653024789502</v>
      </c>
      <c r="O102" s="18">
        <f>Biz2pl!O24</f>
        <v>146.60475168618268</v>
      </c>
      <c r="P102" s="18">
        <f>Biz2pl!P24</f>
        <v>325.43122679404041</v>
      </c>
      <c r="Q102" s="18">
        <f>Biz2pl!Q24</f>
        <v>-338.26991501478187</v>
      </c>
      <c r="R102" s="21"/>
    </row>
    <row r="103" spans="1:30" s="26" customFormat="1" hidden="1" outlineLevel="1" x14ac:dyDescent="0.25">
      <c r="B103" s="26" t="s">
        <v>546</v>
      </c>
      <c r="C103" s="17">
        <f>SUM(CORPpl!D24:Q24)-SUM(D103:Q103)</f>
        <v>0</v>
      </c>
      <c r="D103" s="18">
        <f>CORPpl!D24</f>
        <v>0</v>
      </c>
      <c r="E103" s="18">
        <f>CORPpl!E24</f>
        <v>1323.5</v>
      </c>
      <c r="F103" s="18">
        <f>CORPpl!F24</f>
        <v>3861.1</v>
      </c>
      <c r="G103" s="18">
        <f>CORPpl!G24</f>
        <v>7431.134678837424</v>
      </c>
      <c r="H103" s="18">
        <f>CORPpl!H24</f>
        <v>7184.5930582961082</v>
      </c>
      <c r="I103" s="18">
        <f>CORPpl!I24</f>
        <v>0</v>
      </c>
      <c r="J103" s="18">
        <f>CORPpl!J24</f>
        <v>0</v>
      </c>
      <c r="K103" s="18">
        <f>CORPpl!K24</f>
        <v>0</v>
      </c>
      <c r="L103" s="18">
        <f>CORPpl!L24</f>
        <v>0</v>
      </c>
      <c r="M103" s="18">
        <f>CORPpl!M24</f>
        <v>3700.1687458463871</v>
      </c>
      <c r="N103" s="18">
        <f>CORPpl!N24</f>
        <v>3672.9894928651643</v>
      </c>
      <c r="O103" s="18">
        <f>CORPpl!O24</f>
        <v>3637.8963791401193</v>
      </c>
      <c r="P103" s="18">
        <f>CORPpl!P24</f>
        <v>0</v>
      </c>
      <c r="Q103" s="18">
        <f>CORPpl!Q24</f>
        <v>0</v>
      </c>
      <c r="R103" s="21"/>
      <c r="AB103" s="14"/>
      <c r="AC103" s="14"/>
      <c r="AD103" s="14"/>
    </row>
    <row r="104" spans="1:30" s="27" customFormat="1" hidden="1" outlineLevel="1" x14ac:dyDescent="0.25">
      <c r="C104" s="6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1"/>
      <c r="AB104" s="14"/>
      <c r="AC104" s="14"/>
      <c r="AD104" s="14"/>
    </row>
    <row r="105" spans="1:30" s="19" customFormat="1" collapsed="1" x14ac:dyDescent="0.25">
      <c r="A105" s="19" t="s">
        <v>21</v>
      </c>
      <c r="C105" s="6"/>
      <c r="D105" s="22">
        <f t="shared" ref="D105:AA105" si="47">SUM(D106:D108)</f>
        <v>-47512.901999999995</v>
      </c>
      <c r="E105" s="22">
        <f t="shared" si="47"/>
        <v>-73723.833152356092</v>
      </c>
      <c r="F105" s="22">
        <f t="shared" si="47"/>
        <v>-14562.061452317424</v>
      </c>
      <c r="G105" s="22">
        <f t="shared" si="47"/>
        <v>-19101.462906191446</v>
      </c>
      <c r="H105" s="22">
        <f t="shared" si="47"/>
        <v>27082.243814409496</v>
      </c>
      <c r="I105" s="22">
        <f t="shared" si="47"/>
        <v>0</v>
      </c>
      <c r="J105" s="22">
        <f t="shared" si="47"/>
        <v>0</v>
      </c>
      <c r="K105" s="22">
        <f t="shared" si="47"/>
        <v>0</v>
      </c>
      <c r="L105" s="22">
        <f t="shared" si="47"/>
        <v>0</v>
      </c>
      <c r="M105" s="22">
        <f t="shared" si="47"/>
        <v>-32575.945447943341</v>
      </c>
      <c r="N105" s="22">
        <f t="shared" si="47"/>
        <v>15907.267645397553</v>
      </c>
      <c r="O105" s="22">
        <f t="shared" si="47"/>
        <v>7655.8696546295214</v>
      </c>
      <c r="P105" s="22">
        <f t="shared" si="47"/>
        <v>10829.458485648251</v>
      </c>
      <c r="Q105" s="22">
        <f t="shared" si="47"/>
        <v>-6826.6500470484571</v>
      </c>
      <c r="R105" s="22">
        <f t="shared" ca="1" si="47"/>
        <v>-6869.3801077103344</v>
      </c>
      <c r="S105" s="22">
        <f t="shared" ca="1" si="47"/>
        <v>-6910.1506813770757</v>
      </c>
      <c r="T105" s="22">
        <f t="shared" ca="1" si="47"/>
        <v>-6948.8381556625318</v>
      </c>
      <c r="U105" s="22">
        <f t="shared" ca="1" si="47"/>
        <v>-6985.3139132534343</v>
      </c>
      <c r="V105" s="22">
        <f t="shared" ca="1" si="47"/>
        <v>-7019.4441558304825</v>
      </c>
      <c r="W105" s="22">
        <f t="shared" ca="1" si="47"/>
        <v>-7051.0897221884297</v>
      </c>
      <c r="X105" s="22">
        <f t="shared" ca="1" si="47"/>
        <v>-7080.1059003707778</v>
      </c>
      <c r="Y105" s="22">
        <f t="shared" ca="1" si="47"/>
        <v>-7106.3422336289277</v>
      </c>
      <c r="Z105" s="22">
        <f t="shared" ca="1" si="47"/>
        <v>-7129.642320009767</v>
      </c>
      <c r="AA105" s="22">
        <f t="shared" ca="1" si="47"/>
        <v>-7149.8436053694677</v>
      </c>
      <c r="AB105" s="14"/>
      <c r="AC105" s="14"/>
      <c r="AD105" s="14"/>
    </row>
    <row r="106" spans="1:30" s="19" customFormat="1" hidden="1" outlineLevel="1" x14ac:dyDescent="0.25">
      <c r="B106" s="19" t="s">
        <v>544</v>
      </c>
      <c r="C106" s="17"/>
      <c r="D106" s="20">
        <f>Biz1pl!D25</f>
        <v>-37493.826000000001</v>
      </c>
      <c r="E106" s="20">
        <f>Biz1pl!E25</f>
        <v>-27869.250486580793</v>
      </c>
      <c r="F106" s="20">
        <f>Biz1pl!F25</f>
        <v>-22494.294412741019</v>
      </c>
      <c r="G106" s="20">
        <f>Biz1pl!G25</f>
        <v>-18047.659231229241</v>
      </c>
      <c r="H106" s="20">
        <f>Biz1pl!H25</f>
        <v>26635.305209065267</v>
      </c>
      <c r="I106" s="20">
        <f>Biz1pl!I25</f>
        <v>0</v>
      </c>
      <c r="J106" s="20">
        <f>Biz1pl!J25</f>
        <v>0</v>
      </c>
      <c r="K106" s="20">
        <f>Biz1pl!K25</f>
        <v>0</v>
      </c>
      <c r="L106" s="20">
        <f>Biz1pl!L25</f>
        <v>0</v>
      </c>
      <c r="M106" s="20">
        <f>Biz1pl!M25</f>
        <v>-17413.9495660912</v>
      </c>
      <c r="N106" s="20">
        <f>Biz1pl!N25</f>
        <v>26386.895414452047</v>
      </c>
      <c r="O106" s="20">
        <f>Biz1pl!O25</f>
        <v>21074.581811470292</v>
      </c>
      <c r="P106" s="20">
        <f>Biz1pl!P25</f>
        <v>26728.593757521281</v>
      </c>
      <c r="Q106" s="20">
        <f>Biz1pl!Q25</f>
        <v>9736.1863666333957</v>
      </c>
      <c r="R106" s="20">
        <f ca="1">Biz1pl!R25</f>
        <v>10028.271957632398</v>
      </c>
      <c r="S106" s="20">
        <f ca="1">Biz1pl!S25</f>
        <v>10329.12011636137</v>
      </c>
      <c r="T106" s="20">
        <f ca="1">Biz1pl!T25</f>
        <v>10638.993719852211</v>
      </c>
      <c r="U106" s="20">
        <f ca="1">Biz1pl!U25</f>
        <v>10958.163531447777</v>
      </c>
      <c r="V106" s="20">
        <f ca="1">Biz1pl!V25</f>
        <v>11286.90843739121</v>
      </c>
      <c r="W106" s="20">
        <f ca="1">Biz1pl!W25</f>
        <v>11625.515690512946</v>
      </c>
      <c r="X106" s="20">
        <f ca="1">Biz1pl!X25</f>
        <v>11974.281161228335</v>
      </c>
      <c r="Y106" s="20">
        <f ca="1">Biz1pl!Y25</f>
        <v>12333.509596065185</v>
      </c>
      <c r="Z106" s="20">
        <f ca="1">Biz1pl!Z25</f>
        <v>12703.51488394714</v>
      </c>
      <c r="AA106" s="20">
        <f ca="1">Biz1pl!AA25</f>
        <v>13084.620330465556</v>
      </c>
      <c r="AB106" s="14"/>
      <c r="AC106" s="14"/>
      <c r="AD106" s="14"/>
    </row>
    <row r="107" spans="1:30" s="19" customFormat="1" hidden="1" outlineLevel="1" x14ac:dyDescent="0.25">
      <c r="B107" s="19" t="s">
        <v>545</v>
      </c>
      <c r="C107" s="17"/>
      <c r="D107" s="20">
        <f>Biz2pl!D25</f>
        <v>-1907.0110000000004</v>
      </c>
      <c r="E107" s="20">
        <f>Biz2pl!E25</f>
        <v>10173.415334224697</v>
      </c>
      <c r="F107" s="20">
        <f>Biz2pl!F25</f>
        <v>2083.3999604235955</v>
      </c>
      <c r="G107" s="20">
        <f>Biz2pl!G25</f>
        <v>-2609.3073537996306</v>
      </c>
      <c r="H107" s="20">
        <f>Biz2pl!H25</f>
        <v>2102.297083999134</v>
      </c>
      <c r="I107" s="20">
        <f>Biz2pl!I25</f>
        <v>0</v>
      </c>
      <c r="J107" s="20">
        <f>Biz2pl!J25</f>
        <v>0</v>
      </c>
      <c r="K107" s="20">
        <f>Biz2pl!K25</f>
        <v>0</v>
      </c>
      <c r="L107" s="20">
        <f>Biz2pl!L25</f>
        <v>0</v>
      </c>
      <c r="M107" s="20">
        <f>Biz2pl!M25</f>
        <v>-4274.6950225806704</v>
      </c>
      <c r="N107" s="20">
        <f>Biz2pl!N25</f>
        <v>1809.3403216062957</v>
      </c>
      <c r="O107" s="20">
        <f>Biz2pl!O25</f>
        <v>150.33553897668935</v>
      </c>
      <c r="P107" s="20">
        <f>Biz2pl!P25</f>
        <v>307.80880308454698</v>
      </c>
      <c r="Q107" s="20">
        <f>Biz2pl!Q25</f>
        <v>-355.89233872427531</v>
      </c>
      <c r="R107" s="20">
        <f ca="1">Biz2pl!R25</f>
        <v>-366.56910888600356</v>
      </c>
      <c r="S107" s="20">
        <f ca="1">Biz2pl!S25</f>
        <v>-377.56618215258368</v>
      </c>
      <c r="T107" s="20">
        <f ca="1">Biz2pl!T25</f>
        <v>-388.89316761716123</v>
      </c>
      <c r="U107" s="20">
        <f ca="1">Biz2pl!U25</f>
        <v>-400.55996264567608</v>
      </c>
      <c r="V107" s="20">
        <f ca="1">Biz2pl!V25</f>
        <v>-412.57676152504638</v>
      </c>
      <c r="W107" s="20">
        <f ca="1">Biz2pl!W25</f>
        <v>-424.95406437079777</v>
      </c>
      <c r="X107" s="20">
        <f ca="1">Biz2pl!X25</f>
        <v>-437.70268630192169</v>
      </c>
      <c r="Y107" s="20">
        <f ca="1">Biz2pl!Y25</f>
        <v>-450.83376689097935</v>
      </c>
      <c r="Z107" s="20">
        <f ca="1">Biz2pl!Z25</f>
        <v>-464.35877989770876</v>
      </c>
      <c r="AA107" s="20">
        <f ca="1">Biz2pl!AA25</f>
        <v>-478.28954329464005</v>
      </c>
      <c r="AB107" s="14"/>
      <c r="AC107" s="14"/>
      <c r="AD107" s="14"/>
    </row>
    <row r="108" spans="1:30" s="19" customFormat="1" hidden="1" outlineLevel="1" x14ac:dyDescent="0.25">
      <c r="B108" s="19" t="s">
        <v>546</v>
      </c>
      <c r="C108" s="17"/>
      <c r="D108" s="20">
        <f>CORPpl!D25</f>
        <v>-8112.0649999999951</v>
      </c>
      <c r="E108" s="20">
        <f>CORPpl!E25</f>
        <v>-56027.998</v>
      </c>
      <c r="F108" s="20">
        <f>CORPpl!F25</f>
        <v>5848.8330000000005</v>
      </c>
      <c r="G108" s="20">
        <f>CORPpl!G25</f>
        <v>1555.5036788374282</v>
      </c>
      <c r="H108" s="20">
        <f>CORPpl!H25</f>
        <v>-1655.3584786549072</v>
      </c>
      <c r="I108" s="20">
        <f>CORPpl!I25</f>
        <v>0</v>
      </c>
      <c r="J108" s="20">
        <f>CORPpl!J25</f>
        <v>0</v>
      </c>
      <c r="K108" s="20">
        <f>CORPpl!K25</f>
        <v>0</v>
      </c>
      <c r="L108" s="20">
        <f>CORPpl!L25</f>
        <v>0</v>
      </c>
      <c r="M108" s="20">
        <f>CORPpl!M25</f>
        <v>-10887.300859271467</v>
      </c>
      <c r="N108" s="20">
        <f>CORPpl!N25</f>
        <v>-12288.968090660788</v>
      </c>
      <c r="O108" s="20">
        <f>CORPpl!O25</f>
        <v>-13569.047695817459</v>
      </c>
      <c r="P108" s="20">
        <f>CORPpl!P25</f>
        <v>-16206.944074957577</v>
      </c>
      <c r="Q108" s="20">
        <f>CORPpl!Q25</f>
        <v>-16206.944074957577</v>
      </c>
      <c r="R108" s="20">
        <f ca="1">CORPpl!R25</f>
        <v>-16531.082956456728</v>
      </c>
      <c r="S108" s="20">
        <f ca="1">CORPpl!S25</f>
        <v>-16861.704615585862</v>
      </c>
      <c r="T108" s="20">
        <f ca="1">CORPpl!T25</f>
        <v>-17198.938707897581</v>
      </c>
      <c r="U108" s="20">
        <f ca="1">CORPpl!U25</f>
        <v>-17542.917482055534</v>
      </c>
      <c r="V108" s="20">
        <f ca="1">CORPpl!V25</f>
        <v>-17893.775831696646</v>
      </c>
      <c r="W108" s="20">
        <f ca="1">CORPpl!W25</f>
        <v>-18251.651348330579</v>
      </c>
      <c r="X108" s="20">
        <f ca="1">CORPpl!X25</f>
        <v>-18616.684375297191</v>
      </c>
      <c r="Y108" s="20">
        <f ca="1">CORPpl!Y25</f>
        <v>-18989.018062803134</v>
      </c>
      <c r="Z108" s="20">
        <f ca="1">CORPpl!Z25</f>
        <v>-19368.798424059198</v>
      </c>
      <c r="AA108" s="20">
        <f ca="1">CORPpl!AA25</f>
        <v>-19756.174392540383</v>
      </c>
      <c r="AB108" s="14"/>
      <c r="AC108" s="14"/>
      <c r="AD108" s="14"/>
    </row>
    <row r="109" spans="1:30" s="19" customFormat="1" hidden="1" outlineLevel="1" x14ac:dyDescent="0.25">
      <c r="C109" s="2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AB109" s="14"/>
      <c r="AC109" s="14"/>
      <c r="AD109" s="14"/>
    </row>
    <row r="110" spans="1:30" s="19" customFormat="1" collapsed="1" x14ac:dyDescent="0.25">
      <c r="A110" s="14" t="s">
        <v>426</v>
      </c>
      <c r="C110" s="2"/>
      <c r="D110" s="22">
        <f t="shared" ref="D110:AA110" si="48">SUM(D111:D113)</f>
        <v>0</v>
      </c>
      <c r="E110" s="22">
        <f t="shared" si="48"/>
        <v>0</v>
      </c>
      <c r="F110" s="22">
        <f t="shared" si="48"/>
        <v>0</v>
      </c>
      <c r="G110" s="22">
        <f t="shared" si="48"/>
        <v>0</v>
      </c>
      <c r="H110" s="22">
        <f t="shared" ca="1" si="48"/>
        <v>43340.104826924158</v>
      </c>
      <c r="I110" s="22">
        <f t="shared" ca="1" si="48"/>
        <v>0</v>
      </c>
      <c r="J110" s="22">
        <f t="shared" ca="1" si="48"/>
        <v>0</v>
      </c>
      <c r="K110" s="22">
        <f t="shared" ca="1" si="48"/>
        <v>0</v>
      </c>
      <c r="L110" s="22">
        <f t="shared" ca="1" si="48"/>
        <v>0</v>
      </c>
      <c r="M110" s="22">
        <f t="shared" ca="1" si="48"/>
        <v>-46087.136381369404</v>
      </c>
      <c r="N110" s="22">
        <f t="shared" ca="1" si="48"/>
        <v>19888.820460817515</v>
      </c>
      <c r="O110" s="22">
        <f t="shared" ca="1" si="48"/>
        <v>8462.240248154807</v>
      </c>
      <c r="P110" s="22">
        <f t="shared" ca="1" si="48"/>
        <v>10582.175075441401</v>
      </c>
      <c r="Q110" s="22">
        <f t="shared" ca="1" si="48"/>
        <v>-5897.3000264251741</v>
      </c>
      <c r="R110" s="22">
        <f t="shared" ca="1" si="48"/>
        <v>-5246.1476847456797</v>
      </c>
      <c r="S110" s="22">
        <f t="shared" ca="1" si="48"/>
        <v>-4665.3890214634803</v>
      </c>
      <c r="T110" s="22">
        <f t="shared" ca="1" si="48"/>
        <v>-4147.5336993706369</v>
      </c>
      <c r="U110" s="22">
        <f t="shared" ca="1" si="48"/>
        <v>-3685.8786736777474</v>
      </c>
      <c r="V110" s="22">
        <f t="shared" ca="1" si="48"/>
        <v>-3274.4262448417949</v>
      </c>
      <c r="W110" s="22">
        <f t="shared" ca="1" si="48"/>
        <v>-2907.8105738902432</v>
      </c>
      <c r="X110" s="22">
        <f t="shared" ca="1" si="48"/>
        <v>-2581.231792009512</v>
      </c>
      <c r="Y110" s="22">
        <f t="shared" ca="1" si="48"/>
        <v>-2290.3969247619789</v>
      </c>
      <c r="Z110" s="22">
        <f t="shared" ca="1" si="48"/>
        <v>-2031.4669308924081</v>
      </c>
      <c r="AA110" s="22">
        <f t="shared" ca="1" si="48"/>
        <v>-1801.0092271928361</v>
      </c>
    </row>
    <row r="111" spans="1:30" s="19" customFormat="1" hidden="1" outlineLevel="1" x14ac:dyDescent="0.25">
      <c r="B111" s="19" t="s">
        <v>544</v>
      </c>
      <c r="C111" s="17"/>
      <c r="D111" s="20">
        <f>Biz1pl!D26</f>
        <v>0</v>
      </c>
      <c r="E111" s="20">
        <f>Biz1pl!E26</f>
        <v>0</v>
      </c>
      <c r="F111" s="20">
        <f>Biz1pl!F26</f>
        <v>0</v>
      </c>
      <c r="G111" s="20">
        <f>Biz1pl!G26</f>
        <v>0</v>
      </c>
      <c r="H111" s="20">
        <f ca="1">Biz1pl!H26</f>
        <v>42624.862539779846</v>
      </c>
      <c r="I111" s="20">
        <f ca="1">Biz1pl!I26</f>
        <v>0</v>
      </c>
      <c r="J111" s="20">
        <f ca="1">Biz1pl!J26</f>
        <v>0</v>
      </c>
      <c r="K111" s="20">
        <f ca="1">Biz1pl!K26</f>
        <v>0</v>
      </c>
      <c r="L111" s="20">
        <f ca="1">Biz1pl!L26</f>
        <v>0</v>
      </c>
      <c r="M111" s="20">
        <f ca="1">Biz1pl!M26</f>
        <v>-24636.554904391971</v>
      </c>
      <c r="N111" s="20">
        <f ca="1">Biz1pl!N26</f>
        <v>32991.475161873401</v>
      </c>
      <c r="O111" s="20">
        <f ca="1">Biz1pl!O26</f>
        <v>23294.306520776987</v>
      </c>
      <c r="P111" s="20">
        <f ca="1">Biz1pl!P26</f>
        <v>26118.26427307359</v>
      </c>
      <c r="Q111" s="20">
        <f ca="1">Biz1pl!Q26</f>
        <v>8410.7449073139815</v>
      </c>
      <c r="R111" s="20">
        <f ca="1">Biz1pl!R26</f>
        <v>7658.5943546031049</v>
      </c>
      <c r="S111" s="20">
        <f ca="1">Biz1pl!S26</f>
        <v>6973.7066258367895</v>
      </c>
      <c r="T111" s="20">
        <f ca="1">Biz1pl!T26</f>
        <v>6350.066585522959</v>
      </c>
      <c r="U111" s="20">
        <f ca="1">Biz1pl!U26</f>
        <v>5782.1970157422156</v>
      </c>
      <c r="V111" s="20">
        <f ca="1">Biz1pl!V26</f>
        <v>5265.1105116096596</v>
      </c>
      <c r="W111" s="20">
        <f ca="1">Biz1pl!W26</f>
        <v>4794.2656785976278</v>
      </c>
      <c r="X111" s="20">
        <f ca="1">Biz1pl!X26</f>
        <v>4365.5272470154014</v>
      </c>
      <c r="Y111" s="20">
        <f ca="1">Biz1pl!Y26</f>
        <v>3975.1297533449347</v>
      </c>
      <c r="Z111" s="20">
        <f ca="1">Biz1pl!Z26</f>
        <v>3619.6444694581492</v>
      </c>
      <c r="AA111" s="20">
        <f ca="1">Biz1pl!AA26</f>
        <v>3295.9492892664039</v>
      </c>
    </row>
    <row r="112" spans="1:30" s="19" customFormat="1" hidden="1" outlineLevel="1" x14ac:dyDescent="0.25">
      <c r="B112" s="19" t="s">
        <v>545</v>
      </c>
      <c r="C112" s="17"/>
      <c r="D112" s="20">
        <f>Biz2pl!D26</f>
        <v>0</v>
      </c>
      <c r="E112" s="20">
        <f>Biz2pl!E26</f>
        <v>0</v>
      </c>
      <c r="F112" s="20">
        <f>Biz2pl!F26</f>
        <v>0</v>
      </c>
      <c r="G112" s="20">
        <f>Biz2pl!G26</f>
        <v>0</v>
      </c>
      <c r="H112" s="20">
        <f ca="1">Biz2pl!H26</f>
        <v>3364.336301757281</v>
      </c>
      <c r="I112" s="20">
        <f ca="1">Biz2pl!I26</f>
        <v>0</v>
      </c>
      <c r="J112" s="20">
        <f ca="1">Biz2pl!J26</f>
        <v>0</v>
      </c>
      <c r="K112" s="20">
        <f ca="1">Biz2pl!K26</f>
        <v>0</v>
      </c>
      <c r="L112" s="20">
        <f ca="1">Biz2pl!L26</f>
        <v>0</v>
      </c>
      <c r="M112" s="20">
        <f ca="1">Biz2pl!M26</f>
        <v>-6047.6664540483607</v>
      </c>
      <c r="N112" s="20">
        <f ca="1">Biz2pl!N26</f>
        <v>2262.2140779379642</v>
      </c>
      <c r="O112" s="20">
        <f ca="1">Biz2pl!O26</f>
        <v>166.16994620425635</v>
      </c>
      <c r="P112" s="20">
        <f ca="1">Biz2pl!P26</f>
        <v>300.78019582599308</v>
      </c>
      <c r="Q112" s="20">
        <f ca="1">Biz2pl!Q26</f>
        <v>-307.44272580233064</v>
      </c>
      <c r="R112" s="20">
        <f ca="1">Biz2pl!R26</f>
        <v>-279.94894033059762</v>
      </c>
      <c r="S112" s="20">
        <f ca="1">Biz2pl!S26</f>
        <v>-254.91385098703935</v>
      </c>
      <c r="T112" s="20">
        <f ca="1">Biz2pl!T26</f>
        <v>-232.11758311463868</v>
      </c>
      <c r="U112" s="20">
        <f ca="1">Biz2pl!U26</f>
        <v>-211.35992486230398</v>
      </c>
      <c r="V112" s="20">
        <f ca="1">Biz2pl!V26</f>
        <v>-192.45856879241924</v>
      </c>
      <c r="W112" s="20">
        <f ca="1">Biz2pl!W26</f>
        <v>-175.24751073675515</v>
      </c>
      <c r="X112" s="20">
        <f ca="1">Biz2pl!X26</f>
        <v>-159.57559183843833</v>
      </c>
      <c r="Y112" s="20">
        <f ca="1">Biz2pl!Y26</f>
        <v>-145.30517097523122</v>
      </c>
      <c r="Z112" s="20">
        <f ca="1">Biz2pl!Z26</f>
        <v>-132.31091590446704</v>
      </c>
      <c r="AA112" s="20">
        <f ca="1">Biz2pl!AA26</f>
        <v>-120.4787025126798</v>
      </c>
    </row>
    <row r="113" spans="1:27" s="19" customFormat="1" hidden="1" outlineLevel="1" x14ac:dyDescent="0.25">
      <c r="B113" s="19" t="s">
        <v>546</v>
      </c>
      <c r="C113" s="17"/>
      <c r="D113" s="20">
        <f>CORPpl!D26</f>
        <v>0</v>
      </c>
      <c r="E113" s="20">
        <f>CORPpl!E26</f>
        <v>0</v>
      </c>
      <c r="F113" s="20">
        <f>CORPpl!F26</f>
        <v>0</v>
      </c>
      <c r="G113" s="20">
        <f>CORPpl!G26</f>
        <v>0</v>
      </c>
      <c r="H113" s="20">
        <f ca="1">CORPpl!H26</f>
        <v>-2649.0940146129719</v>
      </c>
      <c r="I113" s="20">
        <f ca="1">CORPpl!I26</f>
        <v>0</v>
      </c>
      <c r="J113" s="20">
        <f ca="1">CORPpl!J26</f>
        <v>0</v>
      </c>
      <c r="K113" s="20">
        <f ca="1">CORPpl!K26</f>
        <v>0</v>
      </c>
      <c r="L113" s="20">
        <f ca="1">CORPpl!L26</f>
        <v>0</v>
      </c>
      <c r="M113" s="20">
        <f ca="1">CORPpl!M26</f>
        <v>-15402.915022929074</v>
      </c>
      <c r="N113" s="20">
        <f ca="1">CORPpl!N26</f>
        <v>-15364.868778993849</v>
      </c>
      <c r="O113" s="20">
        <f ca="1">CORPpl!O26</f>
        <v>-14998.236218826436</v>
      </c>
      <c r="P113" s="20">
        <f ca="1">CORPpl!P26</f>
        <v>-15836.869393458181</v>
      </c>
      <c r="Q113" s="20">
        <f ca="1">CORPpl!Q26</f>
        <v>-14000.602207936825</v>
      </c>
      <c r="R113" s="20">
        <f ca="1">CORPpl!R26</f>
        <v>-12624.793099018187</v>
      </c>
      <c r="S113" s="20">
        <f ca="1">CORPpl!S26</f>
        <v>-11384.181796313231</v>
      </c>
      <c r="T113" s="20">
        <f ca="1">CORPpl!T26</f>
        <v>-10265.482701778958</v>
      </c>
      <c r="U113" s="20">
        <f ca="1">CORPpl!U26</f>
        <v>-9256.715764557659</v>
      </c>
      <c r="V113" s="20">
        <f ca="1">CORPpl!V26</f>
        <v>-8347.0781876590354</v>
      </c>
      <c r="W113" s="20">
        <f ca="1">CORPpl!W26</f>
        <v>-7526.8287417511156</v>
      </c>
      <c r="X113" s="20">
        <f ca="1">CORPpl!X26</f>
        <v>-6787.183447186475</v>
      </c>
      <c r="Y113" s="20">
        <f ca="1">CORPpl!Y26</f>
        <v>-6120.2215071316823</v>
      </c>
      <c r="Z113" s="20">
        <f ca="1">CORPpl!Z26</f>
        <v>-5518.8004844460902</v>
      </c>
      <c r="AA113" s="20">
        <f ca="1">CORPpl!AA26</f>
        <v>-4976.4798139465602</v>
      </c>
    </row>
    <row r="114" spans="1:27" s="19" customFormat="1" hidden="1" outlineLevel="1" x14ac:dyDescent="0.25">
      <c r="C114" s="2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27" s="19" customFormat="1" collapsed="1" x14ac:dyDescent="0.25">
      <c r="C115" s="2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</row>
    <row r="116" spans="1:27" s="14" customFormat="1" x14ac:dyDescent="0.25">
      <c r="A116" s="44" t="s">
        <v>151</v>
      </c>
      <c r="B116" s="141"/>
      <c r="C116" s="2"/>
      <c r="P116" s="31"/>
      <c r="Q116" s="21"/>
      <c r="R116" s="21"/>
    </row>
    <row r="117" spans="1:27" s="14" customFormat="1" x14ac:dyDescent="0.25">
      <c r="C117" s="2"/>
      <c r="D117" s="575" t="s">
        <v>22</v>
      </c>
      <c r="H117" s="26"/>
      <c r="P117" s="31"/>
      <c r="Q117" s="21"/>
      <c r="R117" s="21"/>
    </row>
    <row r="118" spans="1:27" x14ac:dyDescent="0.25">
      <c r="A118" s="14" t="s">
        <v>91</v>
      </c>
      <c r="D118" s="129">
        <f>(H106/H105*D$119)+(H107/H105*D$120)+(H108/H105*D$121)</f>
        <v>0.13115630015403149</v>
      </c>
      <c r="F118" s="453"/>
      <c r="G118" s="452"/>
      <c r="I118" s="47"/>
      <c r="R118" s="21"/>
    </row>
    <row r="119" spans="1:27" s="14" customFormat="1" hidden="1" outlineLevel="1" x14ac:dyDescent="0.25">
      <c r="A119" s="32"/>
      <c r="B119" s="32" t="s">
        <v>544</v>
      </c>
      <c r="C119" s="2"/>
      <c r="D119" s="33">
        <f>Biz1pl!D32</f>
        <v>0.13115630015403151</v>
      </c>
      <c r="F119" s="455"/>
      <c r="G119" s="454"/>
      <c r="P119" s="31"/>
      <c r="Q119" s="31"/>
      <c r="R119" s="21"/>
    </row>
    <row r="120" spans="1:27" s="14" customFormat="1" hidden="1" outlineLevel="1" x14ac:dyDescent="0.25">
      <c r="B120" s="32" t="s">
        <v>545</v>
      </c>
      <c r="D120" s="33">
        <f>Biz2pl!D32</f>
        <v>0.13115630015403151</v>
      </c>
      <c r="F120" s="455"/>
      <c r="G120" s="454"/>
      <c r="P120" s="31"/>
      <c r="Q120" s="31"/>
      <c r="R120" s="21"/>
    </row>
    <row r="121" spans="1:27" s="14" customFormat="1" hidden="1" outlineLevel="1" x14ac:dyDescent="0.25">
      <c r="B121" s="32" t="s">
        <v>546</v>
      </c>
      <c r="D121" s="33">
        <f>CORPpl!D32</f>
        <v>0.13115630015403151</v>
      </c>
      <c r="E121" s="456"/>
      <c r="F121" s="455"/>
      <c r="G121" s="454"/>
      <c r="P121" s="31"/>
      <c r="Q121" s="31"/>
      <c r="R121" s="21"/>
    </row>
    <row r="122" spans="1:27" s="14" customFormat="1" collapsed="1" x14ac:dyDescent="0.25">
      <c r="A122" s="45" t="s">
        <v>153</v>
      </c>
      <c r="F122" s="26"/>
      <c r="G122" s="35"/>
      <c r="P122" s="31"/>
      <c r="Q122" s="31"/>
      <c r="R122" s="21"/>
    </row>
    <row r="123" spans="1:27" s="14" customFormat="1" x14ac:dyDescent="0.25">
      <c r="D123" s="440" t="s">
        <v>488</v>
      </c>
      <c r="E123" s="440"/>
      <c r="F123" s="440"/>
      <c r="H123" s="35"/>
      <c r="P123" s="31"/>
      <c r="Q123" s="31"/>
      <c r="R123" s="21"/>
    </row>
    <row r="124" spans="1:27" s="14" customFormat="1" x14ac:dyDescent="0.25">
      <c r="D124" s="30" t="s">
        <v>491</v>
      </c>
      <c r="E124" s="30" t="s">
        <v>489</v>
      </c>
      <c r="F124" s="30" t="s">
        <v>490</v>
      </c>
      <c r="H124" s="35"/>
      <c r="P124" s="31"/>
      <c r="Q124" s="31"/>
      <c r="R124" s="21"/>
    </row>
    <row r="125" spans="1:27" s="14" customFormat="1" x14ac:dyDescent="0.25">
      <c r="A125" s="14" t="s">
        <v>487</v>
      </c>
      <c r="D125" s="439">
        <f>AVERAGE(D126:D128)</f>
        <v>10</v>
      </c>
      <c r="E125" s="173">
        <f>AVERAGE(E126:E128)</f>
        <v>2.6666666666666668E-2</v>
      </c>
      <c r="F125" s="173">
        <f>AVERAGE(F126:F128)</f>
        <v>1.3333333333333334E-2</v>
      </c>
      <c r="H125" s="35"/>
      <c r="P125" s="31"/>
      <c r="Q125" s="31"/>
      <c r="R125" s="21"/>
    </row>
    <row r="126" spans="1:27" s="14" customFormat="1" hidden="1" outlineLevel="1" x14ac:dyDescent="0.25">
      <c r="B126" s="32" t="s">
        <v>544</v>
      </c>
      <c r="D126" s="438">
        <f>Biz1pl!D29</f>
        <v>10</v>
      </c>
      <c r="E126" s="174">
        <f>Biz1pl!D30</f>
        <v>0.03</v>
      </c>
      <c r="F126" s="174">
        <f>Biz1pl!D31</f>
        <v>0.02</v>
      </c>
      <c r="H126" s="35"/>
      <c r="P126" s="31"/>
      <c r="Q126" s="31"/>
      <c r="R126" s="21"/>
    </row>
    <row r="127" spans="1:27" s="14" customFormat="1" hidden="1" outlineLevel="1" x14ac:dyDescent="0.25">
      <c r="B127" s="32" t="s">
        <v>545</v>
      </c>
      <c r="D127" s="438">
        <f>Biz2pl!D29</f>
        <v>10</v>
      </c>
      <c r="E127" s="174">
        <f>Biz2pl!D30</f>
        <v>0.03</v>
      </c>
      <c r="F127" s="174">
        <f>Biz2pl!D31</f>
        <v>0.01</v>
      </c>
      <c r="H127" s="35"/>
      <c r="P127" s="31"/>
      <c r="Q127" s="31"/>
      <c r="R127" s="21"/>
    </row>
    <row r="128" spans="1:27" s="14" customFormat="1" hidden="1" outlineLevel="1" x14ac:dyDescent="0.25">
      <c r="B128" s="32" t="s">
        <v>546</v>
      </c>
      <c r="D128" s="438">
        <f>CORPpl!D29</f>
        <v>10</v>
      </c>
      <c r="E128" s="174">
        <f>CORPpl!D30</f>
        <v>0.02</v>
      </c>
      <c r="F128" s="174">
        <f>CORPpl!D31</f>
        <v>0.01</v>
      </c>
      <c r="H128" s="35"/>
      <c r="P128" s="31"/>
      <c r="Q128" s="31"/>
      <c r="R128" s="21"/>
    </row>
    <row r="129" spans="1:18" s="14" customFormat="1" collapsed="1" x14ac:dyDescent="0.25">
      <c r="A129" s="45" t="s">
        <v>153</v>
      </c>
      <c r="H129" s="35"/>
      <c r="P129" s="31"/>
      <c r="Q129" s="31"/>
      <c r="R129" s="21"/>
    </row>
    <row r="130" spans="1:18" s="14" customFormat="1" ht="15.75" thickBot="1" x14ac:dyDescent="0.3">
      <c r="D130" s="30" t="s">
        <v>432</v>
      </c>
      <c r="E130" s="30" t="s">
        <v>434</v>
      </c>
      <c r="F130" s="30" t="s">
        <v>435</v>
      </c>
      <c r="G130" s="30" t="s">
        <v>332</v>
      </c>
      <c r="H130" s="30" t="s">
        <v>492</v>
      </c>
      <c r="I130" s="30" t="s">
        <v>515</v>
      </c>
      <c r="P130" s="31"/>
      <c r="Q130" s="31"/>
      <c r="R130" s="21"/>
    </row>
    <row r="131" spans="1:18" s="14" customFormat="1" ht="16.5" thickTop="1" thickBot="1" x14ac:dyDescent="0.3">
      <c r="A131" s="14" t="s">
        <v>433</v>
      </c>
      <c r="C131" s="2"/>
      <c r="D131" s="435">
        <f ca="1">SUM(D133:D135)</f>
        <v>30288.904203543279</v>
      </c>
      <c r="E131" s="435">
        <f ca="1">SUM(E133:E135)</f>
        <v>-32631.290772846332</v>
      </c>
      <c r="F131" s="514">
        <f ca="1">SUM(F133:F135)</f>
        <v>-12417.797359640754</v>
      </c>
      <c r="G131" s="515">
        <f ca="1">SUM(G133:G135)</f>
        <v>-14760.183928943763</v>
      </c>
      <c r="H131" s="516">
        <f>Presentation!BP13*1000</f>
        <v>347991.20589207252</v>
      </c>
      <c r="I131" s="513">
        <f ca="1">H131/G131-1</f>
        <v>-24.576346173416198</v>
      </c>
      <c r="P131" s="31"/>
      <c r="Q131" s="31"/>
      <c r="R131" s="21"/>
    </row>
    <row r="132" spans="1:18" s="14" customFormat="1" x14ac:dyDescent="0.25">
      <c r="C132" s="2"/>
      <c r="D132" s="423" t="s">
        <v>477</v>
      </c>
      <c r="E132" s="423" t="s">
        <v>475</v>
      </c>
      <c r="F132" s="424" t="s">
        <v>476</v>
      </c>
      <c r="G132" s="424" t="s">
        <v>478</v>
      </c>
      <c r="I132" s="422"/>
      <c r="P132" s="31"/>
      <c r="Q132" s="31"/>
      <c r="R132" s="21"/>
    </row>
    <row r="133" spans="1:18" s="14" customFormat="1" hidden="1" outlineLevel="1" x14ac:dyDescent="0.25">
      <c r="B133" s="14" t="s">
        <v>544</v>
      </c>
      <c r="C133" s="2"/>
      <c r="D133" s="35">
        <f ca="1">SUM(H111:Q111)</f>
        <v>108803.09849842582</v>
      </c>
      <c r="E133" s="35">
        <f ca="1">SUM(R111:AA111)</f>
        <v>52080.191530997246</v>
      </c>
      <c r="F133" s="35">
        <f ca="1">Biz1pl!E30</f>
        <v>29651.484303625984</v>
      </c>
      <c r="G133" s="35">
        <f t="shared" ref="G133:G135" ca="1" si="49">SUM(D133:F133)</f>
        <v>190534.77433304908</v>
      </c>
      <c r="H133" s="358">
        <f ca="1">G133-Biz1pl!D33</f>
        <v>0</v>
      </c>
      <c r="J133" s="31"/>
      <c r="K133" s="31"/>
      <c r="P133" s="31"/>
      <c r="Q133" s="31"/>
      <c r="R133" s="21"/>
    </row>
    <row r="134" spans="1:18" s="14" customFormat="1" hidden="1" outlineLevel="1" x14ac:dyDescent="0.25">
      <c r="B134" s="14" t="s">
        <v>545</v>
      </c>
      <c r="C134" s="2"/>
      <c r="D134" s="35">
        <f ca="1">SUM(H112:Q112)</f>
        <v>-261.60865812519665</v>
      </c>
      <c r="E134" s="35">
        <f ca="1">SUM(R112:AA112)</f>
        <v>-1903.7167600545706</v>
      </c>
      <c r="F134" s="35">
        <f ca="1">Biz2pl!E30</f>
        <v>-994.40724386193483</v>
      </c>
      <c r="G134" s="35">
        <f t="shared" ca="1" si="49"/>
        <v>-3159.7326620417025</v>
      </c>
      <c r="H134" s="358">
        <f ca="1">G134-Biz2pl!D33</f>
        <v>0</v>
      </c>
      <c r="J134"/>
      <c r="K134"/>
      <c r="M134" s="31"/>
      <c r="N134" s="31"/>
      <c r="O134" s="31"/>
      <c r="P134" s="31"/>
      <c r="Q134" s="31"/>
      <c r="R134" s="21"/>
    </row>
    <row r="135" spans="1:18" s="14" customFormat="1" hidden="1" outlineLevel="1" x14ac:dyDescent="0.25">
      <c r="B135" s="14" t="s">
        <v>546</v>
      </c>
      <c r="C135" s="2"/>
      <c r="D135" s="35">
        <f t="shared" ref="D135" ca="1" si="50">SUM(H113:Q113)</f>
        <v>-78252.585636757343</v>
      </c>
      <c r="E135" s="35">
        <f t="shared" ref="E135" ca="1" si="51">SUM(R113:AA113)</f>
        <v>-82807.765543789006</v>
      </c>
      <c r="F135" s="35">
        <f ca="1">CORPpl!E30</f>
        <v>-41074.874419404805</v>
      </c>
      <c r="G135" s="35">
        <f t="shared" ca="1" si="49"/>
        <v>-202135.22559995114</v>
      </c>
      <c r="H135" s="358">
        <f ca="1">G135-CORPpl!D33</f>
        <v>0</v>
      </c>
      <c r="M135" s="31"/>
      <c r="N135" s="31"/>
      <c r="O135" s="31"/>
      <c r="P135" s="31"/>
      <c r="Q135" s="31"/>
      <c r="R135" s="21"/>
    </row>
    <row r="136" spans="1:18" s="14" customFormat="1" collapsed="1" x14ac:dyDescent="0.25">
      <c r="A136" s="45" t="s">
        <v>153</v>
      </c>
      <c r="C136" s="2"/>
      <c r="D136" s="30"/>
      <c r="H136" s="31"/>
      <c r="M136" s="31"/>
      <c r="N136" s="31"/>
      <c r="O136" s="31"/>
      <c r="P136" s="31"/>
      <c r="Q136" s="31"/>
      <c r="R136" s="21"/>
    </row>
    <row r="137" spans="1:18" s="14" customFormat="1" x14ac:dyDescent="0.25">
      <c r="A137" s="14" t="s">
        <v>94</v>
      </c>
      <c r="C137" s="2"/>
      <c r="D137" s="131">
        <f>26668541/1000</f>
        <v>26668.541000000001</v>
      </c>
      <c r="H137" s="31"/>
      <c r="M137" s="31"/>
      <c r="N137" s="31"/>
      <c r="O137" s="31"/>
      <c r="P137" s="31"/>
      <c r="Q137" s="31"/>
      <c r="R137" s="31"/>
    </row>
    <row r="138" spans="1:18" x14ac:dyDescent="0.25">
      <c r="A138" s="14" t="s">
        <v>95</v>
      </c>
      <c r="B138" s="14"/>
      <c r="D138" s="130">
        <f>H85/D137</f>
        <v>-0.69560164988767981</v>
      </c>
      <c r="E138" s="14"/>
      <c r="F138" s="14"/>
      <c r="G138" s="14"/>
      <c r="H138" s="31"/>
      <c r="I138" s="14"/>
      <c r="J138" s="14"/>
      <c r="K138" s="14"/>
    </row>
    <row r="139" spans="1:18" x14ac:dyDescent="0.25">
      <c r="A139" s="14"/>
      <c r="B139" s="14"/>
      <c r="D139" s="130"/>
      <c r="E139" s="14"/>
      <c r="F139" s="14"/>
      <c r="G139" s="14"/>
      <c r="H139" s="31"/>
      <c r="I139" s="14"/>
      <c r="J139" s="14"/>
      <c r="K139" s="14"/>
    </row>
    <row r="140" spans="1:18" s="44" customFormat="1" x14ac:dyDescent="0.25">
      <c r="A140" s="44" t="s">
        <v>24</v>
      </c>
      <c r="C140" s="143"/>
      <c r="D140" s="253">
        <f>SUM(D141:D142)</f>
        <v>7272</v>
      </c>
      <c r="E140" s="253">
        <f t="shared" ref="E140:O140" si="52">SUM(E141:E142)</f>
        <v>3746</v>
      </c>
      <c r="F140" s="253">
        <f t="shared" si="52"/>
        <v>2487</v>
      </c>
      <c r="G140" s="253">
        <f t="shared" si="52"/>
        <v>9475</v>
      </c>
      <c r="H140" s="253">
        <f t="shared" si="52"/>
        <v>13346</v>
      </c>
      <c r="I140" s="253">
        <f t="shared" si="52"/>
        <v>3133.44</v>
      </c>
      <c r="J140" s="253">
        <f t="shared" si="52"/>
        <v>3133.44</v>
      </c>
      <c r="K140" s="253">
        <f t="shared" si="52"/>
        <v>3133.44</v>
      </c>
      <c r="L140" s="253">
        <f t="shared" si="52"/>
        <v>3133.44</v>
      </c>
      <c r="M140" s="253">
        <f t="shared" si="52"/>
        <v>12533.76</v>
      </c>
      <c r="N140" s="253">
        <f t="shared" si="52"/>
        <v>13971.150000000001</v>
      </c>
      <c r="O140" s="253">
        <f t="shared" si="52"/>
        <v>14174.800000000001</v>
      </c>
      <c r="P140" s="253">
        <f t="shared" ref="P140:Q140" si="53">SUM(P141:P142)</f>
        <v>13724.35</v>
      </c>
      <c r="Q140" s="253">
        <f t="shared" si="53"/>
        <v>9011.1</v>
      </c>
      <c r="R140"/>
    </row>
    <row r="141" spans="1:18" s="44" customFormat="1" hidden="1" outlineLevel="1" x14ac:dyDescent="0.25">
      <c r="B141" s="44" t="s">
        <v>544</v>
      </c>
      <c r="C141" s="143"/>
      <c r="D141" s="144">
        <f>Biz1pl!D36</f>
        <v>5786</v>
      </c>
      <c r="E141" s="144">
        <f>Biz1pl!E36</f>
        <v>2611</v>
      </c>
      <c r="F141" s="144">
        <f>Biz1pl!F36</f>
        <v>1907</v>
      </c>
      <c r="G141" s="144">
        <f>Biz1pl!G36</f>
        <v>8735</v>
      </c>
      <c r="H141" s="144">
        <f>Biz1pl!H36</f>
        <v>12246</v>
      </c>
      <c r="I141" s="144">
        <f>Biz1pl!I36</f>
        <v>2833.44</v>
      </c>
      <c r="J141" s="144">
        <f>Biz1pl!J36</f>
        <v>2833.44</v>
      </c>
      <c r="K141" s="144">
        <f>Biz1pl!K36</f>
        <v>2833.44</v>
      </c>
      <c r="L141" s="144">
        <f>Biz1pl!L36</f>
        <v>2833.44</v>
      </c>
      <c r="M141" s="144">
        <f>Biz1pl!M36</f>
        <v>11333.76</v>
      </c>
      <c r="N141" s="144">
        <f>Biz1pl!N36</f>
        <v>12771.150000000001</v>
      </c>
      <c r="O141" s="144">
        <f>Biz1pl!O36</f>
        <v>12974.800000000001</v>
      </c>
      <c r="P141" s="144">
        <f>Biz1pl!P36</f>
        <v>12524.35</v>
      </c>
      <c r="Q141" s="144">
        <f>Biz1pl!Q36</f>
        <v>7811.1</v>
      </c>
      <c r="R141"/>
    </row>
    <row r="142" spans="1:18" s="44" customFormat="1" hidden="1" outlineLevel="1" x14ac:dyDescent="0.25">
      <c r="B142" s="44" t="s">
        <v>545</v>
      </c>
      <c r="C142" s="143"/>
      <c r="D142" s="144">
        <f>Biz2pl!D36</f>
        <v>1486</v>
      </c>
      <c r="E142" s="144">
        <f>Biz2pl!E36</f>
        <v>1135</v>
      </c>
      <c r="F142" s="144">
        <f>Biz2pl!F36</f>
        <v>580</v>
      </c>
      <c r="G142" s="144">
        <f>Biz2pl!G36</f>
        <v>740</v>
      </c>
      <c r="H142" s="144">
        <f>Biz2pl!H36</f>
        <v>1100</v>
      </c>
      <c r="I142" s="144">
        <f>Biz2pl!I36</f>
        <v>300</v>
      </c>
      <c r="J142" s="144">
        <f>Biz2pl!J36</f>
        <v>300</v>
      </c>
      <c r="K142" s="144">
        <f>Biz2pl!K36</f>
        <v>300</v>
      </c>
      <c r="L142" s="144">
        <f>Biz2pl!L36</f>
        <v>300</v>
      </c>
      <c r="M142" s="144">
        <f>Biz2pl!M36</f>
        <v>1200</v>
      </c>
      <c r="N142" s="144">
        <f>Biz2pl!N36</f>
        <v>1200</v>
      </c>
      <c r="O142" s="144">
        <f>Biz2pl!O36</f>
        <v>1200</v>
      </c>
      <c r="P142" s="144">
        <f>Biz2pl!P36</f>
        <v>1200</v>
      </c>
      <c r="Q142" s="144">
        <f>Biz2pl!Q36</f>
        <v>1200</v>
      </c>
      <c r="R142"/>
    </row>
    <row r="143" spans="1:18" s="14" customFormat="1" collapsed="1" x14ac:dyDescent="0.25">
      <c r="A143" s="45" t="s">
        <v>153</v>
      </c>
      <c r="B143"/>
      <c r="C143" s="2"/>
      <c r="D143"/>
      <c r="E143"/>
      <c r="F143"/>
      <c r="G143"/>
      <c r="H143" s="36"/>
      <c r="I143"/>
      <c r="J143"/>
      <c r="K143"/>
      <c r="M143" s="31"/>
      <c r="N143" s="31"/>
      <c r="O143" s="31"/>
      <c r="P143" s="31"/>
      <c r="Q143" s="31"/>
    </row>
    <row r="144" spans="1:18" s="14" customFormat="1" x14ac:dyDescent="0.25">
      <c r="A144"/>
      <c r="B144"/>
      <c r="C144" s="2"/>
      <c r="E144"/>
      <c r="F144"/>
      <c r="G144"/>
      <c r="H144" s="36"/>
      <c r="I144"/>
      <c r="J144"/>
      <c r="K144"/>
      <c r="M144" s="31"/>
      <c r="N144" s="31"/>
      <c r="O144" s="31"/>
      <c r="P144" s="31"/>
      <c r="Q144" s="31"/>
    </row>
    <row r="145" spans="4:4" x14ac:dyDescent="0.25">
      <c r="D145" s="35"/>
    </row>
  </sheetData>
  <sheetProtection algorithmName="SHA-512" hashValue="3Wr4L+Naiype1dfd0tW++7TC/DkaBWkyc+jTxpdppYoE+JSpReg6hteiWamf4H6TLCQthOxzhQhUpCKeQt2Lgg==" saltValue="LE0pzCDvn7k15ejrZ5pbXw==" spinCount="100000" sheet="1" objects="1" scenarios="1"/>
  <conditionalFormatting sqref="H133:H135">
    <cfRule type="cellIs" dxfId="15" priority="5" operator="notBetween">
      <formula>-1</formula>
      <formula>1</formula>
    </cfRule>
  </conditionalFormatting>
  <conditionalFormatting sqref="C111:C113 C5:C108">
    <cfRule type="cellIs" dxfId="14" priority="3" operator="notBetween">
      <formula>-0.00000001</formula>
      <formula>0.00000001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R173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outlineLevelRow="1" x14ac:dyDescent="0.25"/>
  <cols>
    <col min="1" max="1" width="6.140625" customWidth="1"/>
    <col min="2" max="2" width="31.28515625" customWidth="1"/>
    <col min="3" max="3" width="2.28515625" style="2" bestFit="1" customWidth="1"/>
    <col min="4" max="7" width="9.85546875" bestFit="1" customWidth="1"/>
    <col min="8" max="8" width="9.85546875" style="36" bestFit="1" customWidth="1"/>
    <col min="9" max="12" width="9.85546875" bestFit="1" customWidth="1"/>
    <col min="13" max="17" width="9.85546875" style="36" bestFit="1" customWidth="1"/>
    <col min="18" max="18" width="10.140625" customWidth="1"/>
  </cols>
  <sheetData>
    <row r="1" spans="1:18" x14ac:dyDescent="0.25">
      <c r="A1" s="31" t="s">
        <v>536</v>
      </c>
      <c r="H1"/>
      <c r="M1"/>
      <c r="N1"/>
      <c r="O1"/>
      <c r="P1"/>
      <c r="Q1"/>
    </row>
    <row r="2" spans="1:18" ht="15.75" thickBot="1" x14ac:dyDescent="0.3">
      <c r="A2" s="31" t="s">
        <v>25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</row>
    <row r="3" spans="1:18" ht="15.75" thickBot="1" x14ac:dyDescent="0.3">
      <c r="C3" s="6" t="s">
        <v>1</v>
      </c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4" spans="1:18" s="37" customFormat="1" x14ac:dyDescent="0.25">
      <c r="A4" s="1" t="s">
        <v>26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/>
    </row>
    <row r="5" spans="1:18" s="37" customFormat="1" x14ac:dyDescent="0.25">
      <c r="B5" s="37" t="s">
        <v>27</v>
      </c>
      <c r="C5" s="100">
        <f>SUM(D5:Q5)-SUM(D6:Q8)</f>
        <v>0</v>
      </c>
      <c r="D5" s="101">
        <f t="shared" ref="D5:Q5" si="0">SUM(D6:D8)</f>
        <v>466424.57</v>
      </c>
      <c r="E5" s="134">
        <f t="shared" si="0"/>
        <v>420279.25084764388</v>
      </c>
      <c r="F5" s="134">
        <f t="shared" si="0"/>
        <v>369121.00739532651</v>
      </c>
      <c r="G5" s="134">
        <f t="shared" si="0"/>
        <v>350656.80433801003</v>
      </c>
      <c r="H5" s="134">
        <f t="shared" si="0"/>
        <v>273895.76867741952</v>
      </c>
      <c r="I5" s="134">
        <f t="shared" si="0"/>
        <v>273884.49496199063</v>
      </c>
      <c r="J5" s="134">
        <f t="shared" si="0"/>
        <v>273873.22124656168</v>
      </c>
      <c r="K5" s="134">
        <f t="shared" si="0"/>
        <v>273861.94753113278</v>
      </c>
      <c r="L5" s="134">
        <f t="shared" si="0"/>
        <v>273850.67381570389</v>
      </c>
      <c r="M5" s="134">
        <f t="shared" si="0"/>
        <v>175894.11591470969</v>
      </c>
      <c r="N5" s="134">
        <f t="shared" si="0"/>
        <v>192778.93940343658</v>
      </c>
      <c r="O5" s="134">
        <f t="shared" si="0"/>
        <v>202321.00752506062</v>
      </c>
      <c r="P5" s="134">
        <f t="shared" si="0"/>
        <v>212862.49030878319</v>
      </c>
      <c r="Q5" s="134">
        <f t="shared" si="0"/>
        <v>201905.39443272943</v>
      </c>
      <c r="R5"/>
    </row>
    <row r="6" spans="1:18" s="37" customFormat="1" hidden="1" outlineLevel="1" x14ac:dyDescent="0.25">
      <c r="B6" s="37" t="s">
        <v>544</v>
      </c>
      <c r="C6" s="102">
        <f>SUM(Biz1bs!D5:Q5)-SUM(D6:Q6)</f>
        <v>0</v>
      </c>
      <c r="D6" s="103">
        <f>Biz1bs!D5</f>
        <v>36512.87999999999</v>
      </c>
      <c r="E6" s="103">
        <f>Biz1bs!E5</f>
        <v>14402.437513419201</v>
      </c>
      <c r="F6" s="103">
        <f>Biz1bs!F5</f>
        <v>0.32110067818575772</v>
      </c>
      <c r="G6" s="103">
        <f>Biz1bs!G5</f>
        <v>6967.1167183239195</v>
      </c>
      <c r="H6" s="103">
        <f>Biz1bs!H5</f>
        <v>14331.774802389187</v>
      </c>
      <c r="I6" s="103">
        <f>Biz1bs!I5</f>
        <v>20622.970698874138</v>
      </c>
      <c r="J6" s="103">
        <f>Biz1bs!J5</f>
        <v>26914.166595359089</v>
      </c>
      <c r="K6" s="103">
        <f>Biz1bs!K5</f>
        <v>33205.36249184404</v>
      </c>
      <c r="L6" s="103">
        <f>Biz1bs!L5</f>
        <v>39496.558388328995</v>
      </c>
      <c r="M6" s="103">
        <f>Biz1bs!M5</f>
        <v>37476.661769186932</v>
      </c>
      <c r="N6" s="103">
        <f>Biz1bs!N5</f>
        <v>77077.423976968334</v>
      </c>
      <c r="O6" s="103">
        <f>Biz1bs!O5</f>
        <v>112460.76560543315</v>
      </c>
      <c r="P6" s="103">
        <f>Biz1bs!P5</f>
        <v>157597.31606102875</v>
      </c>
      <c r="Q6" s="103">
        <f>Biz1bs!Q5</f>
        <v>181898.80982305665</v>
      </c>
      <c r="R6"/>
    </row>
    <row r="7" spans="1:18" s="37" customFormat="1" hidden="1" outlineLevel="1" x14ac:dyDescent="0.25">
      <c r="B7" s="37" t="s">
        <v>545</v>
      </c>
      <c r="C7" s="102">
        <f>SUM(Biz2bs!D5:Q5)-SUM(D7:Q7)</f>
        <v>0</v>
      </c>
      <c r="D7" s="103">
        <f>Biz2bs!D5</f>
        <v>0</v>
      </c>
      <c r="E7" s="103">
        <f>Biz2bs!E5</f>
        <v>7423.0043342246972</v>
      </c>
      <c r="F7" s="103">
        <f>Biz2bs!F5</f>
        <v>12202.534294648296</v>
      </c>
      <c r="G7" s="103">
        <f>Biz2bs!G5</f>
        <v>6824.036940848664</v>
      </c>
      <c r="H7" s="103">
        <f>Biz2bs!H5</f>
        <v>13133.9115498478</v>
      </c>
      <c r="I7" s="103">
        <f>Biz2bs!I5</f>
        <v>13611.8272017134</v>
      </c>
      <c r="J7" s="103">
        <f>Biz2bs!J5</f>
        <v>14089.742853579</v>
      </c>
      <c r="K7" s="103">
        <f>Biz2bs!K5</f>
        <v>14567.6585054446</v>
      </c>
      <c r="L7" s="103">
        <f>Biz2bs!L5</f>
        <v>15045.5741573102</v>
      </c>
      <c r="M7" s="103">
        <f>Biz2bs!M5</f>
        <v>11157.250184729532</v>
      </c>
      <c r="N7" s="103">
        <f>Biz2bs!N5</f>
        <v>14487.961556335824</v>
      </c>
      <c r="O7" s="103">
        <f>Biz2bs!O5</f>
        <v>16364.668145312513</v>
      </c>
      <c r="P7" s="103">
        <f>Biz2bs!P5</f>
        <v>18517.476948397056</v>
      </c>
      <c r="Q7" s="103">
        <f>Biz2bs!Q5</f>
        <v>20006.58460967278</v>
      </c>
      <c r="R7"/>
    </row>
    <row r="8" spans="1:18" s="37" customFormat="1" hidden="1" outlineLevel="1" x14ac:dyDescent="0.25">
      <c r="B8" s="37" t="s">
        <v>546</v>
      </c>
      <c r="C8" s="102">
        <f>SUM(CORPbs!D5:Q5)-SUM(D8:Q8)</f>
        <v>0</v>
      </c>
      <c r="D8" s="103">
        <f>CORPbs!D5</f>
        <v>429911.69</v>
      </c>
      <c r="E8" s="103">
        <f>CORPbs!E5</f>
        <v>398453.80900000001</v>
      </c>
      <c r="F8" s="103">
        <f>CORPbs!F5</f>
        <v>356918.152</v>
      </c>
      <c r="G8" s="103">
        <f>CORPbs!G5</f>
        <v>336865.65067883744</v>
      </c>
      <c r="H8" s="103">
        <f>CORPbs!H5</f>
        <v>246430.08232518253</v>
      </c>
      <c r="I8" s="103">
        <f>CORPbs!I5</f>
        <v>239649.69706140307</v>
      </c>
      <c r="J8" s="103">
        <f>CORPbs!J5</f>
        <v>232869.31179762361</v>
      </c>
      <c r="K8" s="103">
        <f>CORPbs!K5</f>
        <v>226088.92653384415</v>
      </c>
      <c r="L8" s="103">
        <f>CORPbs!L5</f>
        <v>219308.54127006468</v>
      </c>
      <c r="M8" s="103">
        <f>CORPbs!M5</f>
        <v>127260.20396079322</v>
      </c>
      <c r="N8" s="103">
        <f>CORPbs!N5</f>
        <v>101213.55387013243</v>
      </c>
      <c r="O8" s="103">
        <f>CORPbs!O5</f>
        <v>73495.573774314966</v>
      </c>
      <c r="P8" s="103">
        <f>CORPbs!P5</f>
        <v>36747.697299357387</v>
      </c>
      <c r="Q8" s="103">
        <f>CORPbs!Q5</f>
        <v>0</v>
      </c>
      <c r="R8"/>
    </row>
    <row r="9" spans="1:18" s="97" customFormat="1" hidden="1" outlineLevel="1" x14ac:dyDescent="0.25">
      <c r="C9" s="91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/>
    </row>
    <row r="10" spans="1:18" s="37" customFormat="1" collapsed="1" x14ac:dyDescent="0.25">
      <c r="B10" s="37" t="s">
        <v>28</v>
      </c>
      <c r="C10" s="100">
        <f>SUM(D10:Q10)-SUM(D11:Q13)</f>
        <v>0</v>
      </c>
      <c r="D10" s="101">
        <f t="shared" ref="D10:Q10" si="1">SUM(D11:D13)</f>
        <v>1231</v>
      </c>
      <c r="E10" s="134">
        <f t="shared" si="1"/>
        <v>1083</v>
      </c>
      <c r="F10" s="134">
        <f t="shared" si="1"/>
        <v>2525</v>
      </c>
      <c r="G10" s="134">
        <f t="shared" si="1"/>
        <v>1972.895</v>
      </c>
      <c r="H10" s="134">
        <f t="shared" si="1"/>
        <v>1972.895</v>
      </c>
      <c r="I10" s="134">
        <f t="shared" si="1"/>
        <v>1972.895</v>
      </c>
      <c r="J10" s="134">
        <f t="shared" si="1"/>
        <v>1972.895</v>
      </c>
      <c r="K10" s="134">
        <f t="shared" si="1"/>
        <v>1972.895</v>
      </c>
      <c r="L10" s="134">
        <f t="shared" si="1"/>
        <v>1972.895</v>
      </c>
      <c r="M10" s="134">
        <f t="shared" si="1"/>
        <v>1972.895</v>
      </c>
      <c r="N10" s="134">
        <f t="shared" si="1"/>
        <v>1972.895</v>
      </c>
      <c r="O10" s="134">
        <f t="shared" si="1"/>
        <v>1972.895</v>
      </c>
      <c r="P10" s="134">
        <f t="shared" si="1"/>
        <v>1972.895</v>
      </c>
      <c r="Q10" s="134">
        <f t="shared" si="1"/>
        <v>1972.895</v>
      </c>
      <c r="R10"/>
    </row>
    <row r="11" spans="1:18" s="37" customFormat="1" hidden="1" outlineLevel="1" x14ac:dyDescent="0.25">
      <c r="B11" s="37" t="s">
        <v>544</v>
      </c>
      <c r="C11" s="102">
        <f>SUM(Biz1bs!D6:Q6)-SUM(D11:Q11)</f>
        <v>0</v>
      </c>
      <c r="D11" s="103">
        <f>Biz1bs!D6</f>
        <v>0</v>
      </c>
      <c r="E11" s="103">
        <f>Biz1bs!E6</f>
        <v>0</v>
      </c>
      <c r="F11" s="103">
        <f>Biz1bs!F6</f>
        <v>0</v>
      </c>
      <c r="G11" s="103">
        <f>Biz1bs!G6</f>
        <v>0</v>
      </c>
      <c r="H11" s="103">
        <f>Biz1bs!H6</f>
        <v>0</v>
      </c>
      <c r="I11" s="103">
        <f>Biz1bs!I6</f>
        <v>0</v>
      </c>
      <c r="J11" s="103">
        <f>Biz1bs!J6</f>
        <v>0</v>
      </c>
      <c r="K11" s="103">
        <f>Biz1bs!K6</f>
        <v>0</v>
      </c>
      <c r="L11" s="103">
        <f>Biz1bs!L6</f>
        <v>0</v>
      </c>
      <c r="M11" s="103">
        <f>Biz1bs!M6</f>
        <v>0</v>
      </c>
      <c r="N11" s="103">
        <f>Biz1bs!N6</f>
        <v>0</v>
      </c>
      <c r="O11" s="103">
        <f>Biz1bs!O6</f>
        <v>0</v>
      </c>
      <c r="P11" s="103">
        <f>Biz1bs!P6</f>
        <v>0</v>
      </c>
      <c r="Q11" s="103">
        <f>Biz1bs!Q6</f>
        <v>0</v>
      </c>
      <c r="R11"/>
    </row>
    <row r="12" spans="1:18" s="37" customFormat="1" hidden="1" outlineLevel="1" x14ac:dyDescent="0.25">
      <c r="B12" s="37" t="s">
        <v>545</v>
      </c>
      <c r="C12" s="102">
        <f>SUM(Biz2bs!D6:Q6)-SUM(D12:Q12)</f>
        <v>0</v>
      </c>
      <c r="D12" s="103">
        <f>Biz2bs!D6</f>
        <v>0</v>
      </c>
      <c r="E12" s="103">
        <f>Biz2bs!E6</f>
        <v>0</v>
      </c>
      <c r="F12" s="103">
        <f>Biz2bs!F6</f>
        <v>0</v>
      </c>
      <c r="G12" s="103">
        <f>Biz2bs!G6</f>
        <v>0</v>
      </c>
      <c r="H12" s="103">
        <f>Biz2bs!H6</f>
        <v>0</v>
      </c>
      <c r="I12" s="103">
        <f>Biz2bs!I6</f>
        <v>0</v>
      </c>
      <c r="J12" s="103">
        <f>Biz2bs!J6</f>
        <v>0</v>
      </c>
      <c r="K12" s="103">
        <f>Biz2bs!K6</f>
        <v>0</v>
      </c>
      <c r="L12" s="103">
        <f>Biz2bs!L6</f>
        <v>0</v>
      </c>
      <c r="M12" s="103">
        <f>Biz2bs!M6</f>
        <v>0</v>
      </c>
      <c r="N12" s="103">
        <f>Biz2bs!N6</f>
        <v>0</v>
      </c>
      <c r="O12" s="103">
        <f>Biz2bs!O6</f>
        <v>0</v>
      </c>
      <c r="P12" s="103">
        <f>Biz2bs!P6</f>
        <v>0</v>
      </c>
      <c r="Q12" s="103">
        <f>Biz2bs!Q6</f>
        <v>0</v>
      </c>
      <c r="R12"/>
    </row>
    <row r="13" spans="1:18" s="37" customFormat="1" hidden="1" outlineLevel="1" x14ac:dyDescent="0.25">
      <c r="B13" s="37" t="s">
        <v>546</v>
      </c>
      <c r="C13" s="102">
        <f>SUM(CORPbs!D6:Q6)-SUM(D13:Q13)</f>
        <v>0</v>
      </c>
      <c r="D13" s="103">
        <f>CORPbs!D6</f>
        <v>1231</v>
      </c>
      <c r="E13" s="103">
        <f>CORPbs!E6</f>
        <v>1083</v>
      </c>
      <c r="F13" s="103">
        <f>CORPbs!F6</f>
        <v>2525</v>
      </c>
      <c r="G13" s="103">
        <f>CORPbs!G6</f>
        <v>1972.895</v>
      </c>
      <c r="H13" s="103">
        <f>CORPbs!H6</f>
        <v>1972.895</v>
      </c>
      <c r="I13" s="103">
        <f>CORPbs!I6</f>
        <v>1972.895</v>
      </c>
      <c r="J13" s="103">
        <f>CORPbs!J6</f>
        <v>1972.895</v>
      </c>
      <c r="K13" s="103">
        <f>CORPbs!K6</f>
        <v>1972.895</v>
      </c>
      <c r="L13" s="103">
        <f>CORPbs!L6</f>
        <v>1972.895</v>
      </c>
      <c r="M13" s="103">
        <f>CORPbs!M6</f>
        <v>1972.895</v>
      </c>
      <c r="N13" s="103">
        <f>CORPbs!N6</f>
        <v>1972.895</v>
      </c>
      <c r="O13" s="103">
        <f>CORPbs!O6</f>
        <v>1972.895</v>
      </c>
      <c r="P13" s="103">
        <f>CORPbs!P6</f>
        <v>1972.895</v>
      </c>
      <c r="Q13" s="103">
        <f>CORPbs!Q6</f>
        <v>1972.895</v>
      </c>
      <c r="R13"/>
    </row>
    <row r="14" spans="1:18" s="97" customFormat="1" hidden="1" outlineLevel="1" x14ac:dyDescent="0.25">
      <c r="C14" s="91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/>
    </row>
    <row r="15" spans="1:18" s="37" customFormat="1" collapsed="1" x14ac:dyDescent="0.25">
      <c r="B15" s="37" t="s">
        <v>98</v>
      </c>
      <c r="C15" s="100">
        <f>SUM(D15:Q15)-SUM(D16:Q18)</f>
        <v>0</v>
      </c>
      <c r="D15" s="101">
        <f t="shared" ref="D15:Q15" si="2">SUM(D16:D18)</f>
        <v>61115.75261243491</v>
      </c>
      <c r="E15" s="134">
        <f t="shared" si="2"/>
        <v>28295.622740550745</v>
      </c>
      <c r="F15" s="134">
        <f t="shared" si="2"/>
        <v>18711.66981374464</v>
      </c>
      <c r="G15" s="134">
        <f t="shared" si="2"/>
        <v>44157.346174966951</v>
      </c>
      <c r="H15" s="134">
        <f t="shared" si="2"/>
        <v>57187.626910180945</v>
      </c>
      <c r="I15" s="134">
        <f t="shared" si="2"/>
        <v>51276.060138743553</v>
      </c>
      <c r="J15" s="134">
        <f t="shared" si="2"/>
        <v>51276.060138743553</v>
      </c>
      <c r="K15" s="134">
        <f t="shared" si="2"/>
        <v>51276.060138743553</v>
      </c>
      <c r="L15" s="134">
        <f t="shared" si="2"/>
        <v>51276.060138743553</v>
      </c>
      <c r="M15" s="134">
        <f t="shared" si="2"/>
        <v>73605.884444056428</v>
      </c>
      <c r="N15" s="134">
        <f t="shared" si="2"/>
        <v>84145.626625745863</v>
      </c>
      <c r="O15" s="134">
        <f t="shared" si="2"/>
        <v>87102.121601778315</v>
      </c>
      <c r="P15" s="134">
        <f t="shared" si="2"/>
        <v>83449.987257585526</v>
      </c>
      <c r="Q15" s="134">
        <f t="shared" si="2"/>
        <v>80476.405185664786</v>
      </c>
      <c r="R15"/>
    </row>
    <row r="16" spans="1:18" s="37" customFormat="1" hidden="1" outlineLevel="1" x14ac:dyDescent="0.25">
      <c r="B16" s="37" t="s">
        <v>544</v>
      </c>
      <c r="C16" s="102">
        <f>SUM(Biz1bs!D7:Q7)-SUM(D16:Q16)</f>
        <v>0</v>
      </c>
      <c r="D16" s="103">
        <f>Biz1bs!D7</f>
        <v>40116.580448119938</v>
      </c>
      <c r="E16" s="103">
        <f>Biz1bs!E7</f>
        <v>17380.423016089477</v>
      </c>
      <c r="F16" s="103">
        <f>Biz1bs!F7</f>
        <v>12470.349260194816</v>
      </c>
      <c r="G16" s="103">
        <f>Biz1bs!G7</f>
        <v>38470.351237076764</v>
      </c>
      <c r="H16" s="103">
        <f>Biz1bs!H7</f>
        <v>50018.700913295499</v>
      </c>
      <c r="I16" s="103">
        <f>Biz1bs!I7</f>
        <v>44107.134141858114</v>
      </c>
      <c r="J16" s="103">
        <f>Biz1bs!J7</f>
        <v>44107.134141858114</v>
      </c>
      <c r="K16" s="103">
        <f>Biz1bs!K7</f>
        <v>44107.134141858114</v>
      </c>
      <c r="L16" s="103">
        <f>Biz1bs!L7</f>
        <v>44107.134141858114</v>
      </c>
      <c r="M16" s="103">
        <f>Biz1bs!M7</f>
        <v>63352.152295844418</v>
      </c>
      <c r="N16" s="103">
        <f>Biz1bs!N7</f>
        <v>73627.217394962281</v>
      </c>
      <c r="O16" s="103">
        <f>Biz1bs!O7</f>
        <v>76323.239690377886</v>
      </c>
      <c r="P16" s="103">
        <f>Biz1bs!P7</f>
        <v>72671.105346185097</v>
      </c>
      <c r="Q16" s="103">
        <f>Biz1bs!Q7</f>
        <v>69697.523274264357</v>
      </c>
      <c r="R16"/>
    </row>
    <row r="17" spans="2:18" s="37" customFormat="1" hidden="1" outlineLevel="1" x14ac:dyDescent="0.25">
      <c r="B17" s="37" t="s">
        <v>545</v>
      </c>
      <c r="C17" s="102">
        <f>SUM(Biz2bs!D7:Q7)-SUM(D17:Q17)</f>
        <v>0</v>
      </c>
      <c r="D17" s="103">
        <f>Biz2bs!D7</f>
        <v>20999.172164314969</v>
      </c>
      <c r="E17" s="103">
        <f>Biz2bs!E7</f>
        <v>10915.199724461268</v>
      </c>
      <c r="F17" s="103">
        <f>Biz2bs!F7</f>
        <v>6241.3205535498228</v>
      </c>
      <c r="G17" s="103">
        <f>Biz2bs!G7</f>
        <v>5686.9949378901865</v>
      </c>
      <c r="H17" s="103">
        <f>Biz2bs!H7</f>
        <v>7168.9259968854421</v>
      </c>
      <c r="I17" s="103">
        <f>Biz2bs!I7</f>
        <v>7168.9259968854412</v>
      </c>
      <c r="J17" s="103">
        <f>Biz2bs!J7</f>
        <v>7168.9259968854412</v>
      </c>
      <c r="K17" s="103">
        <f>Biz2bs!K7</f>
        <v>7168.9259968854412</v>
      </c>
      <c r="L17" s="103">
        <f>Biz2bs!L7</f>
        <v>7168.9259968854412</v>
      </c>
      <c r="M17" s="103">
        <f>Biz2bs!M7</f>
        <v>10253.732148212017</v>
      </c>
      <c r="N17" s="103">
        <f>Biz2bs!N7</f>
        <v>10518.40923078358</v>
      </c>
      <c r="O17" s="103">
        <f>Biz2bs!O7</f>
        <v>10778.881911400425</v>
      </c>
      <c r="P17" s="103">
        <f>Biz2bs!P7</f>
        <v>10778.881911400425</v>
      </c>
      <c r="Q17" s="103">
        <f>Biz2bs!Q7</f>
        <v>10778.881911400425</v>
      </c>
      <c r="R17"/>
    </row>
    <row r="18" spans="2:18" s="37" customFormat="1" hidden="1" outlineLevel="1" x14ac:dyDescent="0.25">
      <c r="B18" s="37" t="s">
        <v>546</v>
      </c>
      <c r="C18" s="102">
        <f>SUM(CORPbs!D7:Q7)-SUM(D18:Q18)</f>
        <v>0</v>
      </c>
      <c r="D18" s="103">
        <f>CORPbs!D7</f>
        <v>0</v>
      </c>
      <c r="E18" s="103">
        <f>CORPbs!E7</f>
        <v>0</v>
      </c>
      <c r="F18" s="103">
        <f>CORPbs!F7</f>
        <v>0</v>
      </c>
      <c r="G18" s="103">
        <f>CORPbs!G7</f>
        <v>0</v>
      </c>
      <c r="H18" s="103">
        <f>CORPbs!H7</f>
        <v>0</v>
      </c>
      <c r="I18" s="103">
        <f>CORPbs!I7</f>
        <v>0</v>
      </c>
      <c r="J18" s="103">
        <f>CORPbs!J7</f>
        <v>0</v>
      </c>
      <c r="K18" s="103">
        <f>CORPbs!K7</f>
        <v>0</v>
      </c>
      <c r="L18" s="103">
        <f>CORPbs!L7</f>
        <v>0</v>
      </c>
      <c r="M18" s="103">
        <f>CORPbs!M7</f>
        <v>0</v>
      </c>
      <c r="N18" s="103">
        <f>CORPbs!N7</f>
        <v>0</v>
      </c>
      <c r="O18" s="103">
        <f>CORPbs!O7</f>
        <v>0</v>
      </c>
      <c r="P18" s="103">
        <f>CORPbs!P7</f>
        <v>0</v>
      </c>
      <c r="Q18" s="103">
        <f>CORPbs!Q7</f>
        <v>0</v>
      </c>
      <c r="R18"/>
    </row>
    <row r="19" spans="2:18" s="97" customFormat="1" hidden="1" outlineLevel="1" x14ac:dyDescent="0.25">
      <c r="C19" s="91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/>
    </row>
    <row r="20" spans="2:18" s="37" customFormat="1" collapsed="1" x14ac:dyDescent="0.25">
      <c r="B20" s="37" t="s">
        <v>29</v>
      </c>
      <c r="C20" s="100">
        <f>SUM(D20:Q20)-SUM(D21:Q23)</f>
        <v>0</v>
      </c>
      <c r="D20" s="101">
        <f t="shared" ref="D20:Q20" si="3">SUM(D21:D23)</f>
        <v>97759.270618165494</v>
      </c>
      <c r="E20" s="134">
        <f t="shared" si="3"/>
        <v>41113.062512325589</v>
      </c>
      <c r="F20" s="134">
        <f t="shared" si="3"/>
        <v>42866.453224119374</v>
      </c>
      <c r="G20" s="134">
        <f t="shared" si="3"/>
        <v>113135.65347031951</v>
      </c>
      <c r="H20" s="134">
        <f t="shared" si="3"/>
        <v>118804.02264436959</v>
      </c>
      <c r="I20" s="134">
        <f t="shared" si="3"/>
        <v>106502.69851780208</v>
      </c>
      <c r="J20" s="134">
        <f t="shared" si="3"/>
        <v>106502.69851780208</v>
      </c>
      <c r="K20" s="134">
        <f t="shared" si="3"/>
        <v>106502.69851780208</v>
      </c>
      <c r="L20" s="134">
        <f t="shared" si="3"/>
        <v>106502.69851780208</v>
      </c>
      <c r="M20" s="134">
        <f t="shared" si="3"/>
        <v>141161.04395815192</v>
      </c>
      <c r="N20" s="134">
        <f t="shared" si="3"/>
        <v>149414.39720058351</v>
      </c>
      <c r="O20" s="134">
        <f t="shared" si="3"/>
        <v>154559.45467265227</v>
      </c>
      <c r="P20" s="134">
        <f t="shared" si="3"/>
        <v>147999.70032232965</v>
      </c>
      <c r="Q20" s="134">
        <f t="shared" si="3"/>
        <v>142835.97949726842</v>
      </c>
      <c r="R20"/>
    </row>
    <row r="21" spans="2:18" s="37" customFormat="1" hidden="1" outlineLevel="1" x14ac:dyDescent="0.25">
      <c r="B21" s="37" t="s">
        <v>544</v>
      </c>
      <c r="C21" s="102">
        <f>SUM(Biz1bs!D8:Q8)-SUM(D21:Q21)</f>
        <v>0</v>
      </c>
      <c r="D21" s="103">
        <f>Biz1bs!D8</f>
        <v>65487.768275637573</v>
      </c>
      <c r="E21" s="103">
        <f>Biz1bs!E8</f>
        <v>27187.922083073594</v>
      </c>
      <c r="F21" s="103">
        <f>Biz1bs!F8</f>
        <v>29983.288946440458</v>
      </c>
      <c r="G21" s="103">
        <f>Biz1bs!G8</f>
        <v>99345.119091113185</v>
      </c>
      <c r="H21" s="103">
        <f>Biz1bs!H8</f>
        <v>103895.12256641797</v>
      </c>
      <c r="I21" s="103">
        <f>Biz1bs!I8</f>
        <v>91593.798439850463</v>
      </c>
      <c r="J21" s="103">
        <f>Biz1bs!J8</f>
        <v>91593.798439850463</v>
      </c>
      <c r="K21" s="103">
        <f>Biz1bs!K8</f>
        <v>91593.798439850463</v>
      </c>
      <c r="L21" s="103">
        <f>Biz1bs!L8</f>
        <v>91593.798439850463</v>
      </c>
      <c r="M21" s="103">
        <f>Biz1bs!M8</f>
        <v>121700.91263659157</v>
      </c>
      <c r="N21" s="103">
        <f>Biz1bs!N8</f>
        <v>130877.38662221604</v>
      </c>
      <c r="O21" s="103">
        <f>Biz1bs!O8</f>
        <v>135561.66569175691</v>
      </c>
      <c r="P21" s="103">
        <f>Biz1bs!P8</f>
        <v>129001.91134143429</v>
      </c>
      <c r="Q21" s="103">
        <f>Biz1bs!Q8</f>
        <v>123838.19051637306</v>
      </c>
      <c r="R21"/>
    </row>
    <row r="22" spans="2:18" s="37" customFormat="1" hidden="1" outlineLevel="1" x14ac:dyDescent="0.25">
      <c r="B22" s="37" t="s">
        <v>545</v>
      </c>
      <c r="C22" s="102">
        <f>SUM(Biz2bs!D8:Q8)-SUM(D22:Q22)</f>
        <v>0</v>
      </c>
      <c r="D22" s="103">
        <f>Biz2bs!D8</f>
        <v>32271.502342527929</v>
      </c>
      <c r="E22" s="103">
        <f>Biz2bs!E8</f>
        <v>13925.140429251993</v>
      </c>
      <c r="F22" s="103">
        <f>Biz2bs!F8</f>
        <v>12883.164277678914</v>
      </c>
      <c r="G22" s="103">
        <f>Biz2bs!G8</f>
        <v>13790.534379206323</v>
      </c>
      <c r="H22" s="103">
        <f>Biz2bs!H8</f>
        <v>14908.900077951626</v>
      </c>
      <c r="I22" s="103">
        <f>Biz2bs!I8</f>
        <v>14908.900077951626</v>
      </c>
      <c r="J22" s="103">
        <f>Biz2bs!J8</f>
        <v>14908.900077951626</v>
      </c>
      <c r="K22" s="103">
        <f>Biz2bs!K8</f>
        <v>14908.900077951626</v>
      </c>
      <c r="L22" s="103">
        <f>Biz2bs!L8</f>
        <v>14908.900077951626</v>
      </c>
      <c r="M22" s="103">
        <f>Biz2bs!M8</f>
        <v>19460.131321560344</v>
      </c>
      <c r="N22" s="103">
        <f>Biz2bs!N8</f>
        <v>18537.010578367473</v>
      </c>
      <c r="O22" s="103">
        <f>Biz2bs!O8</f>
        <v>18997.78898089537</v>
      </c>
      <c r="P22" s="103">
        <f>Biz2bs!P8</f>
        <v>18997.78898089537</v>
      </c>
      <c r="Q22" s="103">
        <f>Biz2bs!Q8</f>
        <v>18997.78898089537</v>
      </c>
      <c r="R22"/>
    </row>
    <row r="23" spans="2:18" s="37" customFormat="1" hidden="1" outlineLevel="1" x14ac:dyDescent="0.25">
      <c r="B23" s="37" t="s">
        <v>546</v>
      </c>
      <c r="C23" s="102">
        <f>SUM(CORPbs!D8:Q8)-SUM(D23:Q23)</f>
        <v>0</v>
      </c>
      <c r="D23" s="103">
        <f>CORPbs!D8</f>
        <v>0</v>
      </c>
      <c r="E23" s="103">
        <f>CORPbs!E8</f>
        <v>0</v>
      </c>
      <c r="F23" s="103">
        <f>CORPbs!F8</f>
        <v>0</v>
      </c>
      <c r="G23" s="103">
        <f>CORPbs!G8</f>
        <v>0</v>
      </c>
      <c r="H23" s="103">
        <f>CORPbs!H8</f>
        <v>0</v>
      </c>
      <c r="I23" s="103">
        <f>CORPbs!I8</f>
        <v>0</v>
      </c>
      <c r="J23" s="103">
        <f>CORPbs!J8</f>
        <v>0</v>
      </c>
      <c r="K23" s="103">
        <f>CORPbs!K8</f>
        <v>0</v>
      </c>
      <c r="L23" s="103">
        <f>CORPbs!L8</f>
        <v>0</v>
      </c>
      <c r="M23" s="103">
        <f>CORPbs!M8</f>
        <v>0</v>
      </c>
      <c r="N23" s="103">
        <f>CORPbs!N8</f>
        <v>0</v>
      </c>
      <c r="O23" s="103">
        <f>CORPbs!O8</f>
        <v>0</v>
      </c>
      <c r="P23" s="103">
        <f>CORPbs!P8</f>
        <v>0</v>
      </c>
      <c r="Q23" s="103">
        <f>CORPbs!Q8</f>
        <v>0</v>
      </c>
      <c r="R23"/>
    </row>
    <row r="24" spans="2:18" s="97" customFormat="1" hidden="1" outlineLevel="1" x14ac:dyDescent="0.25">
      <c r="C24" s="91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/>
    </row>
    <row r="25" spans="2:18" s="37" customFormat="1" collapsed="1" x14ac:dyDescent="0.25">
      <c r="B25" s="37" t="s">
        <v>30</v>
      </c>
      <c r="C25" s="100">
        <f>SUM(D25:Q25)-SUM(D26:Q28)</f>
        <v>0</v>
      </c>
      <c r="D25" s="101">
        <f t="shared" ref="D25:Q25" si="4">SUM(D26:D28)</f>
        <v>0</v>
      </c>
      <c r="E25" s="134">
        <f t="shared" si="4"/>
        <v>0</v>
      </c>
      <c r="F25" s="134">
        <f t="shared" si="4"/>
        <v>0</v>
      </c>
      <c r="G25" s="134">
        <f t="shared" si="4"/>
        <v>0</v>
      </c>
      <c r="H25" s="134">
        <f t="shared" si="4"/>
        <v>0</v>
      </c>
      <c r="I25" s="134">
        <f t="shared" si="4"/>
        <v>0</v>
      </c>
      <c r="J25" s="134">
        <f t="shared" si="4"/>
        <v>0</v>
      </c>
      <c r="K25" s="134">
        <f t="shared" si="4"/>
        <v>0</v>
      </c>
      <c r="L25" s="134">
        <f t="shared" si="4"/>
        <v>0</v>
      </c>
      <c r="M25" s="134">
        <f t="shared" si="4"/>
        <v>0</v>
      </c>
      <c r="N25" s="134">
        <f t="shared" si="4"/>
        <v>0</v>
      </c>
      <c r="O25" s="134">
        <f t="shared" si="4"/>
        <v>0</v>
      </c>
      <c r="P25" s="134">
        <f t="shared" si="4"/>
        <v>0</v>
      </c>
      <c r="Q25" s="134">
        <f t="shared" si="4"/>
        <v>0</v>
      </c>
      <c r="R25"/>
    </row>
    <row r="26" spans="2:18" s="37" customFormat="1" hidden="1" outlineLevel="1" x14ac:dyDescent="0.25">
      <c r="B26" s="37" t="s">
        <v>544</v>
      </c>
      <c r="C26" s="102">
        <f>SUM(Biz1bs!D9:Q9)-SUM(D26:Q26)</f>
        <v>0</v>
      </c>
      <c r="D26" s="103">
        <f>Biz1bs!D9</f>
        <v>0</v>
      </c>
      <c r="E26" s="103">
        <f>Biz1bs!E9</f>
        <v>0</v>
      </c>
      <c r="F26" s="103">
        <f>Biz1bs!F9</f>
        <v>0</v>
      </c>
      <c r="G26" s="103">
        <f>Biz1bs!G9</f>
        <v>0</v>
      </c>
      <c r="H26" s="103">
        <f>Biz1bs!H9</f>
        <v>0</v>
      </c>
      <c r="I26" s="103">
        <f>Biz1bs!I9</f>
        <v>0</v>
      </c>
      <c r="J26" s="103">
        <f>Biz1bs!J9</f>
        <v>0</v>
      </c>
      <c r="K26" s="103">
        <f>Biz1bs!K9</f>
        <v>0</v>
      </c>
      <c r="L26" s="103">
        <f>Biz1bs!L9</f>
        <v>0</v>
      </c>
      <c r="M26" s="103">
        <f>Biz1bs!M9</f>
        <v>0</v>
      </c>
      <c r="N26" s="103">
        <f>Biz1bs!N9</f>
        <v>0</v>
      </c>
      <c r="O26" s="103">
        <f>Biz1bs!O9</f>
        <v>0</v>
      </c>
      <c r="P26" s="103">
        <f>Biz1bs!P9</f>
        <v>0</v>
      </c>
      <c r="Q26" s="103">
        <f>Biz1bs!Q9</f>
        <v>0</v>
      </c>
      <c r="R26"/>
    </row>
    <row r="27" spans="2:18" s="37" customFormat="1" hidden="1" outlineLevel="1" x14ac:dyDescent="0.25">
      <c r="B27" s="37" t="s">
        <v>545</v>
      </c>
      <c r="C27" s="102">
        <f>SUM(Biz2bs!D9:Q9)-SUM(D27:Q27)</f>
        <v>0</v>
      </c>
      <c r="D27" s="103">
        <f>Biz2bs!D9</f>
        <v>0</v>
      </c>
      <c r="E27" s="103">
        <f>Biz2bs!E9</f>
        <v>0</v>
      </c>
      <c r="F27" s="103">
        <f>Biz2bs!F9</f>
        <v>0</v>
      </c>
      <c r="G27" s="103">
        <f>Biz2bs!G9</f>
        <v>0</v>
      </c>
      <c r="H27" s="103">
        <f>Biz2bs!H9</f>
        <v>0</v>
      </c>
      <c r="I27" s="103">
        <f>Biz2bs!I9</f>
        <v>0</v>
      </c>
      <c r="J27" s="103">
        <f>Biz2bs!J9</f>
        <v>0</v>
      </c>
      <c r="K27" s="103">
        <f>Biz2bs!K9</f>
        <v>0</v>
      </c>
      <c r="L27" s="103">
        <f>Biz2bs!L9</f>
        <v>0</v>
      </c>
      <c r="M27" s="103">
        <f>Biz2bs!M9</f>
        <v>0</v>
      </c>
      <c r="N27" s="103">
        <f>Biz2bs!N9</f>
        <v>0</v>
      </c>
      <c r="O27" s="103">
        <f>Biz2bs!O9</f>
        <v>0</v>
      </c>
      <c r="P27" s="103">
        <f>Biz2bs!P9</f>
        <v>0</v>
      </c>
      <c r="Q27" s="103">
        <f>Biz2bs!Q9</f>
        <v>0</v>
      </c>
      <c r="R27"/>
    </row>
    <row r="28" spans="2:18" s="37" customFormat="1" hidden="1" outlineLevel="1" x14ac:dyDescent="0.25">
      <c r="B28" s="37" t="s">
        <v>546</v>
      </c>
      <c r="C28" s="102">
        <f>SUM(CORPbs!D9:Q9)-SUM(D28:Q28)</f>
        <v>0</v>
      </c>
      <c r="D28" s="103">
        <f>CORPbs!D9</f>
        <v>0</v>
      </c>
      <c r="E28" s="103">
        <f>CORPbs!E9</f>
        <v>0</v>
      </c>
      <c r="F28" s="103">
        <f>CORPbs!F9</f>
        <v>0</v>
      </c>
      <c r="G28" s="103">
        <f>CORPbs!G9</f>
        <v>0</v>
      </c>
      <c r="H28" s="103">
        <f>CORPbs!H9</f>
        <v>0</v>
      </c>
      <c r="I28" s="103">
        <f>CORPbs!I9</f>
        <v>0</v>
      </c>
      <c r="J28" s="103">
        <f>CORPbs!J9</f>
        <v>0</v>
      </c>
      <c r="K28" s="103">
        <f>CORPbs!K9</f>
        <v>0</v>
      </c>
      <c r="L28" s="103">
        <f>CORPbs!L9</f>
        <v>0</v>
      </c>
      <c r="M28" s="103">
        <f>CORPbs!M9</f>
        <v>0</v>
      </c>
      <c r="N28" s="103">
        <f>CORPbs!N9</f>
        <v>0</v>
      </c>
      <c r="O28" s="103">
        <f>CORPbs!O9</f>
        <v>0</v>
      </c>
      <c r="P28" s="103">
        <f>CORPbs!P9</f>
        <v>0</v>
      </c>
      <c r="Q28" s="103">
        <f>CORPbs!Q9</f>
        <v>0</v>
      </c>
      <c r="R28"/>
    </row>
    <row r="29" spans="2:18" s="97" customFormat="1" hidden="1" outlineLevel="1" x14ac:dyDescent="0.25">
      <c r="C29" s="91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/>
    </row>
    <row r="30" spans="2:18" s="37" customFormat="1" collapsed="1" x14ac:dyDescent="0.25">
      <c r="B30" s="37" t="s">
        <v>31</v>
      </c>
      <c r="C30" s="100">
        <f>SUM(D30:Q30)-SUM(D31:Q33)</f>
        <v>0</v>
      </c>
      <c r="D30" s="101">
        <f t="shared" ref="D30:Q30" si="5">SUM(D31:D33)</f>
        <v>0</v>
      </c>
      <c r="E30" s="134">
        <f t="shared" si="5"/>
        <v>0</v>
      </c>
      <c r="F30" s="134">
        <f t="shared" si="5"/>
        <v>0</v>
      </c>
      <c r="G30" s="134">
        <f t="shared" si="5"/>
        <v>0</v>
      </c>
      <c r="H30" s="134">
        <f t="shared" si="5"/>
        <v>0</v>
      </c>
      <c r="I30" s="134">
        <f t="shared" si="5"/>
        <v>0</v>
      </c>
      <c r="J30" s="134">
        <f t="shared" si="5"/>
        <v>0</v>
      </c>
      <c r="K30" s="134">
        <f t="shared" si="5"/>
        <v>0</v>
      </c>
      <c r="L30" s="134">
        <f t="shared" si="5"/>
        <v>0</v>
      </c>
      <c r="M30" s="134">
        <f t="shared" si="5"/>
        <v>0</v>
      </c>
      <c r="N30" s="134">
        <f t="shared" si="5"/>
        <v>0</v>
      </c>
      <c r="O30" s="134">
        <f t="shared" si="5"/>
        <v>0</v>
      </c>
      <c r="P30" s="134">
        <f t="shared" si="5"/>
        <v>0</v>
      </c>
      <c r="Q30" s="134">
        <f t="shared" si="5"/>
        <v>0</v>
      </c>
      <c r="R30"/>
    </row>
    <row r="31" spans="2:18" s="37" customFormat="1" hidden="1" outlineLevel="1" x14ac:dyDescent="0.25">
      <c r="B31" s="37" t="s">
        <v>544</v>
      </c>
      <c r="C31" s="102">
        <f>SUM(Biz1bs!D10:Q10)-SUM(D31:Q31)</f>
        <v>0</v>
      </c>
      <c r="D31" s="103">
        <f>Biz1bs!D10</f>
        <v>0</v>
      </c>
      <c r="E31" s="103">
        <f>Biz1bs!E10</f>
        <v>0</v>
      </c>
      <c r="F31" s="103">
        <f>Biz1bs!F10</f>
        <v>0</v>
      </c>
      <c r="G31" s="103">
        <f>Biz1bs!G10</f>
        <v>0</v>
      </c>
      <c r="H31" s="103">
        <f>Biz1bs!H10</f>
        <v>0</v>
      </c>
      <c r="I31" s="103">
        <f>Biz1bs!I10</f>
        <v>0</v>
      </c>
      <c r="J31" s="103">
        <f>Biz1bs!J10</f>
        <v>0</v>
      </c>
      <c r="K31" s="103">
        <f>Biz1bs!K10</f>
        <v>0</v>
      </c>
      <c r="L31" s="103">
        <f>Biz1bs!L10</f>
        <v>0</v>
      </c>
      <c r="M31" s="103">
        <f>Biz1bs!M10</f>
        <v>0</v>
      </c>
      <c r="N31" s="103">
        <f>Biz1bs!N10</f>
        <v>0</v>
      </c>
      <c r="O31" s="103">
        <f>Biz1bs!O10</f>
        <v>0</v>
      </c>
      <c r="P31" s="103">
        <f>Biz1bs!P10</f>
        <v>0</v>
      </c>
      <c r="Q31" s="103">
        <f>Biz1bs!Q10</f>
        <v>0</v>
      </c>
      <c r="R31"/>
    </row>
    <row r="32" spans="2:18" s="37" customFormat="1" hidden="1" outlineLevel="1" x14ac:dyDescent="0.25">
      <c r="B32" s="37" t="s">
        <v>545</v>
      </c>
      <c r="C32" s="102">
        <f>SUM(Biz2bs!D10:Q10)-SUM(D32:Q32)</f>
        <v>0</v>
      </c>
      <c r="D32" s="103">
        <f>Biz2bs!D10</f>
        <v>0</v>
      </c>
      <c r="E32" s="103">
        <f>Biz2bs!E10</f>
        <v>0</v>
      </c>
      <c r="F32" s="103">
        <f>Biz2bs!F10</f>
        <v>0</v>
      </c>
      <c r="G32" s="103">
        <f>Biz2bs!G10</f>
        <v>0</v>
      </c>
      <c r="H32" s="103">
        <f>Biz2bs!H10</f>
        <v>0</v>
      </c>
      <c r="I32" s="103">
        <f>Biz2bs!I10</f>
        <v>0</v>
      </c>
      <c r="J32" s="103">
        <f>Biz2bs!J10</f>
        <v>0</v>
      </c>
      <c r="K32" s="103">
        <f>Biz2bs!K10</f>
        <v>0</v>
      </c>
      <c r="L32" s="103">
        <f>Biz2bs!L10</f>
        <v>0</v>
      </c>
      <c r="M32" s="103">
        <f>Biz2bs!M10</f>
        <v>0</v>
      </c>
      <c r="N32" s="103">
        <f>Biz2bs!N10</f>
        <v>0</v>
      </c>
      <c r="O32" s="103">
        <f>Biz2bs!O10</f>
        <v>0</v>
      </c>
      <c r="P32" s="103">
        <f>Biz2bs!P10</f>
        <v>0</v>
      </c>
      <c r="Q32" s="103">
        <f>Biz2bs!Q10</f>
        <v>0</v>
      </c>
      <c r="R32"/>
    </row>
    <row r="33" spans="2:18" s="37" customFormat="1" hidden="1" outlineLevel="1" x14ac:dyDescent="0.25">
      <c r="B33" s="37" t="s">
        <v>546</v>
      </c>
      <c r="C33" s="102">
        <f>SUM(CORPbs!D10:Q10)-SUM(D33:Q33)</f>
        <v>0</v>
      </c>
      <c r="D33" s="103">
        <f>CORPbs!D10</f>
        <v>0</v>
      </c>
      <c r="E33" s="103">
        <f>CORPbs!E10</f>
        <v>0</v>
      </c>
      <c r="F33" s="103">
        <f>CORPbs!F10</f>
        <v>0</v>
      </c>
      <c r="G33" s="103">
        <f>CORPbs!G10</f>
        <v>0</v>
      </c>
      <c r="H33" s="103">
        <f>CORPbs!H10</f>
        <v>0</v>
      </c>
      <c r="I33" s="103">
        <f>CORPbs!I10</f>
        <v>0</v>
      </c>
      <c r="J33" s="103">
        <f>CORPbs!J10</f>
        <v>0</v>
      </c>
      <c r="K33" s="103">
        <f>CORPbs!K10</f>
        <v>0</v>
      </c>
      <c r="L33" s="103">
        <f>CORPbs!L10</f>
        <v>0</v>
      </c>
      <c r="M33" s="103">
        <f>CORPbs!M10</f>
        <v>0</v>
      </c>
      <c r="N33" s="103">
        <f>CORPbs!N10</f>
        <v>0</v>
      </c>
      <c r="O33" s="103">
        <f>CORPbs!O10</f>
        <v>0</v>
      </c>
      <c r="P33" s="103">
        <f>CORPbs!P10</f>
        <v>0</v>
      </c>
      <c r="Q33" s="103">
        <f>CORPbs!Q10</f>
        <v>0</v>
      </c>
      <c r="R33"/>
    </row>
    <row r="34" spans="2:18" s="97" customFormat="1" hidden="1" outlineLevel="1" x14ac:dyDescent="0.25">
      <c r="C34" s="91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/>
    </row>
    <row r="35" spans="2:18" s="37" customFormat="1" collapsed="1" x14ac:dyDescent="0.25">
      <c r="B35" s="37" t="s">
        <v>32</v>
      </c>
      <c r="C35" s="100">
        <f>SUM(D35:Q35)-SUM(D36:Q38)</f>
        <v>0</v>
      </c>
      <c r="D35" s="101">
        <f t="shared" ref="D35:Q35" si="6">SUM(D36:D38)</f>
        <v>0</v>
      </c>
      <c r="E35" s="134">
        <f t="shared" si="6"/>
        <v>0</v>
      </c>
      <c r="F35" s="134">
        <f t="shared" si="6"/>
        <v>0</v>
      </c>
      <c r="G35" s="134">
        <f t="shared" si="6"/>
        <v>0</v>
      </c>
      <c r="H35" s="134">
        <f t="shared" si="6"/>
        <v>0</v>
      </c>
      <c r="I35" s="134">
        <f t="shared" si="6"/>
        <v>0</v>
      </c>
      <c r="J35" s="134">
        <f t="shared" si="6"/>
        <v>0</v>
      </c>
      <c r="K35" s="134">
        <f t="shared" si="6"/>
        <v>0</v>
      </c>
      <c r="L35" s="134">
        <f t="shared" si="6"/>
        <v>0</v>
      </c>
      <c r="M35" s="134">
        <f t="shared" si="6"/>
        <v>0</v>
      </c>
      <c r="N35" s="134">
        <f t="shared" si="6"/>
        <v>0</v>
      </c>
      <c r="O35" s="134">
        <f t="shared" si="6"/>
        <v>0</v>
      </c>
      <c r="P35" s="134">
        <f t="shared" si="6"/>
        <v>0</v>
      </c>
      <c r="Q35" s="134">
        <f t="shared" si="6"/>
        <v>0</v>
      </c>
      <c r="R35"/>
    </row>
    <row r="36" spans="2:18" s="37" customFormat="1" hidden="1" outlineLevel="1" x14ac:dyDescent="0.25">
      <c r="B36" s="37" t="s">
        <v>544</v>
      </c>
      <c r="C36" s="102">
        <f>SUM(Biz1bs!D11:Q11)-SUM(D36:Q36)</f>
        <v>0</v>
      </c>
      <c r="D36" s="103">
        <f>Biz1bs!D11</f>
        <v>0</v>
      </c>
      <c r="E36" s="103">
        <f>Biz1bs!E11</f>
        <v>0</v>
      </c>
      <c r="F36" s="103">
        <f>Biz1bs!F11</f>
        <v>0</v>
      </c>
      <c r="G36" s="103">
        <f>Biz1bs!G11</f>
        <v>0</v>
      </c>
      <c r="H36" s="103">
        <f>Biz1bs!H11</f>
        <v>0</v>
      </c>
      <c r="I36" s="103">
        <f>Biz1bs!I11</f>
        <v>0</v>
      </c>
      <c r="J36" s="103">
        <f>Biz1bs!J11</f>
        <v>0</v>
      </c>
      <c r="K36" s="103">
        <f>Biz1bs!K11</f>
        <v>0</v>
      </c>
      <c r="L36" s="103">
        <f>Biz1bs!L11</f>
        <v>0</v>
      </c>
      <c r="M36" s="103">
        <f>Biz1bs!M11</f>
        <v>0</v>
      </c>
      <c r="N36" s="103">
        <f>Biz1bs!N11</f>
        <v>0</v>
      </c>
      <c r="O36" s="103">
        <f>Biz1bs!O11</f>
        <v>0</v>
      </c>
      <c r="P36" s="103">
        <f>Biz1bs!P11</f>
        <v>0</v>
      </c>
      <c r="Q36" s="103">
        <f>Biz1bs!Q11</f>
        <v>0</v>
      </c>
      <c r="R36"/>
    </row>
    <row r="37" spans="2:18" s="37" customFormat="1" hidden="1" outlineLevel="1" x14ac:dyDescent="0.25">
      <c r="B37" s="37" t="s">
        <v>545</v>
      </c>
      <c r="C37" s="102">
        <f>SUM(Biz2bs!D11:Q11)-SUM(D37:Q37)</f>
        <v>0</v>
      </c>
      <c r="D37" s="103">
        <f>Biz2bs!D11</f>
        <v>0</v>
      </c>
      <c r="E37" s="103">
        <f>Biz2bs!E11</f>
        <v>0</v>
      </c>
      <c r="F37" s="103">
        <f>Biz2bs!F11</f>
        <v>0</v>
      </c>
      <c r="G37" s="103">
        <f>Biz2bs!G11</f>
        <v>0</v>
      </c>
      <c r="H37" s="103">
        <f>Biz2bs!H11</f>
        <v>0</v>
      </c>
      <c r="I37" s="103">
        <f>Biz2bs!I11</f>
        <v>0</v>
      </c>
      <c r="J37" s="103">
        <f>Biz2bs!J11</f>
        <v>0</v>
      </c>
      <c r="K37" s="103">
        <f>Biz2bs!K11</f>
        <v>0</v>
      </c>
      <c r="L37" s="103">
        <f>Biz2bs!L11</f>
        <v>0</v>
      </c>
      <c r="M37" s="103">
        <f>Biz2bs!M11</f>
        <v>0</v>
      </c>
      <c r="N37" s="103">
        <f>Biz2bs!N11</f>
        <v>0</v>
      </c>
      <c r="O37" s="103">
        <f>Biz2bs!O11</f>
        <v>0</v>
      </c>
      <c r="P37" s="103">
        <f>Biz2bs!P11</f>
        <v>0</v>
      </c>
      <c r="Q37" s="103">
        <f>Biz2bs!Q11</f>
        <v>0</v>
      </c>
      <c r="R37"/>
    </row>
    <row r="38" spans="2:18" s="37" customFormat="1" hidden="1" outlineLevel="1" x14ac:dyDescent="0.25">
      <c r="B38" s="37" t="s">
        <v>546</v>
      </c>
      <c r="C38" s="102">
        <f>SUM(CORPbs!D11:Q11)-SUM(D38:Q38)</f>
        <v>0</v>
      </c>
      <c r="D38" s="103">
        <f>CORPbs!D11</f>
        <v>0</v>
      </c>
      <c r="E38" s="103">
        <f>CORPbs!E11</f>
        <v>0</v>
      </c>
      <c r="F38" s="103">
        <f>CORPbs!F11</f>
        <v>0</v>
      </c>
      <c r="G38" s="103">
        <f>CORPbs!G11</f>
        <v>0</v>
      </c>
      <c r="H38" s="103">
        <f>CORPbs!H11</f>
        <v>0</v>
      </c>
      <c r="I38" s="103">
        <f>CORPbs!I11</f>
        <v>0</v>
      </c>
      <c r="J38" s="103">
        <f>CORPbs!J11</f>
        <v>0</v>
      </c>
      <c r="K38" s="103">
        <f>CORPbs!K11</f>
        <v>0</v>
      </c>
      <c r="L38" s="103">
        <f>CORPbs!L11</f>
        <v>0</v>
      </c>
      <c r="M38" s="103">
        <f>CORPbs!M11</f>
        <v>0</v>
      </c>
      <c r="N38" s="103">
        <f>CORPbs!N11</f>
        <v>0</v>
      </c>
      <c r="O38" s="103">
        <f>CORPbs!O11</f>
        <v>0</v>
      </c>
      <c r="P38" s="103">
        <f>CORPbs!P11</f>
        <v>0</v>
      </c>
      <c r="Q38" s="103">
        <f>CORPbs!Q11</f>
        <v>0</v>
      </c>
      <c r="R38"/>
    </row>
    <row r="39" spans="2:18" s="97" customFormat="1" hidden="1" outlineLevel="1" x14ac:dyDescent="0.25">
      <c r="C39" s="91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/>
    </row>
    <row r="40" spans="2:18" s="37" customFormat="1" collapsed="1" x14ac:dyDescent="0.25">
      <c r="B40" s="135" t="s">
        <v>33</v>
      </c>
      <c r="C40" s="100">
        <f>SUM(D40:Q40)-SUM(D41:Q43)</f>
        <v>0</v>
      </c>
      <c r="D40" s="101">
        <f t="shared" ref="D40:Q40" si="7">SUM(D41:D43)</f>
        <v>136506</v>
      </c>
      <c r="E40" s="134">
        <f t="shared" si="7"/>
        <v>127974</v>
      </c>
      <c r="F40" s="134">
        <f t="shared" si="7"/>
        <v>132614</v>
      </c>
      <c r="G40" s="134">
        <f t="shared" si="7"/>
        <v>163521.23184325313</v>
      </c>
      <c r="H40" s="134">
        <f t="shared" si="7"/>
        <v>177329.42348508851</v>
      </c>
      <c r="I40" s="134">
        <f t="shared" si="7"/>
        <v>177329.42348508851</v>
      </c>
      <c r="J40" s="134">
        <f t="shared" si="7"/>
        <v>177329.42348508851</v>
      </c>
      <c r="K40" s="134">
        <f t="shared" si="7"/>
        <v>177329.42348508851</v>
      </c>
      <c r="L40" s="134">
        <f t="shared" si="7"/>
        <v>177329.42348508851</v>
      </c>
      <c r="M40" s="134">
        <f t="shared" si="7"/>
        <v>181172.25216997066</v>
      </c>
      <c r="N40" s="134">
        <f t="shared" si="7"/>
        <v>185280.10821160342</v>
      </c>
      <c r="O40" s="134">
        <f t="shared" si="7"/>
        <v>189256.5219349995</v>
      </c>
      <c r="P40" s="134">
        <f t="shared" si="7"/>
        <v>189256.5219349995</v>
      </c>
      <c r="Q40" s="134">
        <f t="shared" si="7"/>
        <v>189256.5219349995</v>
      </c>
      <c r="R40"/>
    </row>
    <row r="41" spans="2:18" s="37" customFormat="1" hidden="1" outlineLevel="1" x14ac:dyDescent="0.25">
      <c r="B41" s="37" t="s">
        <v>544</v>
      </c>
      <c r="C41" s="102">
        <f>SUM(Biz1bs!D12:Q12)-SUM(D41:Q41)</f>
        <v>0</v>
      </c>
      <c r="D41" s="103">
        <f>Biz1bs!D12</f>
        <v>136506</v>
      </c>
      <c r="E41" s="103">
        <f>Biz1bs!E12</f>
        <v>127974</v>
      </c>
      <c r="F41" s="103">
        <f>Biz1bs!F12</f>
        <v>132614</v>
      </c>
      <c r="G41" s="103">
        <f>Biz1bs!G12</f>
        <v>163521.23184325313</v>
      </c>
      <c r="H41" s="103">
        <f>Biz1bs!H12</f>
        <v>177329.42348508851</v>
      </c>
      <c r="I41" s="103">
        <f>Biz1bs!I12</f>
        <v>177329.42348508851</v>
      </c>
      <c r="J41" s="103">
        <f>Biz1bs!J12</f>
        <v>177329.42348508851</v>
      </c>
      <c r="K41" s="103">
        <f>Biz1bs!K12</f>
        <v>177329.42348508851</v>
      </c>
      <c r="L41" s="103">
        <f>Biz1bs!L12</f>
        <v>177329.42348508851</v>
      </c>
      <c r="M41" s="103">
        <f>Biz1bs!M12</f>
        <v>181172.25216997066</v>
      </c>
      <c r="N41" s="103">
        <f>Biz1bs!N12</f>
        <v>185280.10821160342</v>
      </c>
      <c r="O41" s="103">
        <f>Biz1bs!O12</f>
        <v>189256.5219349995</v>
      </c>
      <c r="P41" s="103">
        <f>Biz1bs!P12</f>
        <v>189256.5219349995</v>
      </c>
      <c r="Q41" s="103">
        <f>Biz1bs!Q12</f>
        <v>189256.5219349995</v>
      </c>
      <c r="R41"/>
    </row>
    <row r="42" spans="2:18" s="37" customFormat="1" hidden="1" outlineLevel="1" x14ac:dyDescent="0.25">
      <c r="B42" s="37" t="s">
        <v>545</v>
      </c>
      <c r="C42" s="102">
        <f>SUM(Biz2bs!D12:Q12)-SUM(D42:Q42)</f>
        <v>0</v>
      </c>
      <c r="D42" s="103">
        <f>Biz2bs!D12</f>
        <v>0</v>
      </c>
      <c r="E42" s="103">
        <f>Biz2bs!E12</f>
        <v>0</v>
      </c>
      <c r="F42" s="103">
        <f>Biz2bs!F12</f>
        <v>0</v>
      </c>
      <c r="G42" s="103">
        <f>Biz2bs!G12</f>
        <v>0</v>
      </c>
      <c r="H42" s="103">
        <f>Biz2bs!H12</f>
        <v>0</v>
      </c>
      <c r="I42" s="103">
        <f>Biz2bs!I12</f>
        <v>0</v>
      </c>
      <c r="J42" s="103">
        <f>Biz2bs!J12</f>
        <v>0</v>
      </c>
      <c r="K42" s="103">
        <f>Biz2bs!K12</f>
        <v>0</v>
      </c>
      <c r="L42" s="103">
        <f>Biz2bs!L12</f>
        <v>0</v>
      </c>
      <c r="M42" s="103">
        <f>Biz2bs!M12</f>
        <v>0</v>
      </c>
      <c r="N42" s="103">
        <f>Biz2bs!N12</f>
        <v>0</v>
      </c>
      <c r="O42" s="103">
        <f>Biz2bs!O12</f>
        <v>0</v>
      </c>
      <c r="P42" s="103">
        <f>Biz2bs!P12</f>
        <v>0</v>
      </c>
      <c r="Q42" s="103">
        <f>Biz2bs!Q12</f>
        <v>0</v>
      </c>
      <c r="R42"/>
    </row>
    <row r="43" spans="2:18" s="37" customFormat="1" hidden="1" outlineLevel="1" x14ac:dyDescent="0.25">
      <c r="B43" s="37" t="s">
        <v>546</v>
      </c>
      <c r="C43" s="102">
        <f>SUM(CORPbs!D12:Q12)-SUM(D43:Q43)</f>
        <v>0</v>
      </c>
      <c r="D43" s="103">
        <f>CORPbs!D12</f>
        <v>0</v>
      </c>
      <c r="E43" s="103">
        <f>CORPbs!E12</f>
        <v>0</v>
      </c>
      <c r="F43" s="103">
        <f>CORPbs!F12</f>
        <v>0</v>
      </c>
      <c r="G43" s="103">
        <f>CORPbs!G12</f>
        <v>0</v>
      </c>
      <c r="H43" s="103">
        <f>CORPbs!H12</f>
        <v>0</v>
      </c>
      <c r="I43" s="103">
        <f>CORPbs!I12</f>
        <v>0</v>
      </c>
      <c r="J43" s="103">
        <f>CORPbs!J12</f>
        <v>0</v>
      </c>
      <c r="K43" s="103">
        <f>CORPbs!K12</f>
        <v>0</v>
      </c>
      <c r="L43" s="103">
        <f>CORPbs!L12</f>
        <v>0</v>
      </c>
      <c r="M43" s="103">
        <f>CORPbs!M12</f>
        <v>0</v>
      </c>
      <c r="N43" s="103">
        <f>CORPbs!N12</f>
        <v>0</v>
      </c>
      <c r="O43" s="103">
        <f>CORPbs!O12</f>
        <v>0</v>
      </c>
      <c r="P43" s="103">
        <f>CORPbs!P12</f>
        <v>0</v>
      </c>
      <c r="Q43" s="103">
        <f>CORPbs!Q12</f>
        <v>0</v>
      </c>
      <c r="R43"/>
    </row>
    <row r="44" spans="2:18" s="97" customFormat="1" hidden="1" outlineLevel="1" x14ac:dyDescent="0.25">
      <c r="C44" s="91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/>
    </row>
    <row r="45" spans="2:18" s="37" customFormat="1" collapsed="1" x14ac:dyDescent="0.25">
      <c r="B45" s="136" t="s">
        <v>34</v>
      </c>
      <c r="C45" s="100">
        <f>SUM(D45:Q45)-SUM(D46:Q48)</f>
        <v>0</v>
      </c>
      <c r="D45" s="101">
        <f t="shared" ref="D45:Q45" si="8">SUM(D46:D48)</f>
        <v>0</v>
      </c>
      <c r="E45" s="134">
        <f t="shared" si="8"/>
        <v>0</v>
      </c>
      <c r="F45" s="134">
        <f t="shared" si="8"/>
        <v>0</v>
      </c>
      <c r="G45" s="134">
        <f t="shared" si="8"/>
        <v>0</v>
      </c>
      <c r="H45" s="134">
        <f t="shared" si="8"/>
        <v>0</v>
      </c>
      <c r="I45" s="134">
        <f t="shared" si="8"/>
        <v>0</v>
      </c>
      <c r="J45" s="134">
        <f t="shared" si="8"/>
        <v>0</v>
      </c>
      <c r="K45" s="134">
        <f t="shared" si="8"/>
        <v>0</v>
      </c>
      <c r="L45" s="134">
        <f t="shared" si="8"/>
        <v>0</v>
      </c>
      <c r="M45" s="134">
        <f t="shared" si="8"/>
        <v>0</v>
      </c>
      <c r="N45" s="134">
        <f t="shared" si="8"/>
        <v>0</v>
      </c>
      <c r="O45" s="134">
        <f t="shared" si="8"/>
        <v>0</v>
      </c>
      <c r="P45" s="134">
        <f t="shared" si="8"/>
        <v>0</v>
      </c>
      <c r="Q45" s="134">
        <f t="shared" si="8"/>
        <v>0</v>
      </c>
      <c r="R45"/>
    </row>
    <row r="46" spans="2:18" s="37" customFormat="1" hidden="1" outlineLevel="1" x14ac:dyDescent="0.25">
      <c r="B46" s="37" t="s">
        <v>544</v>
      </c>
      <c r="C46" s="102">
        <f>SUM(Biz1bs!D13:Q13)-SUM(D46:Q46)</f>
        <v>0</v>
      </c>
      <c r="D46" s="103">
        <f>Biz1bs!D13</f>
        <v>0</v>
      </c>
      <c r="E46" s="103">
        <f>Biz1bs!E13</f>
        <v>0</v>
      </c>
      <c r="F46" s="103">
        <f>Biz1bs!F13</f>
        <v>0</v>
      </c>
      <c r="G46" s="103">
        <f>Biz1bs!G13</f>
        <v>0</v>
      </c>
      <c r="H46" s="103">
        <f>Biz1bs!H13</f>
        <v>0</v>
      </c>
      <c r="I46" s="103">
        <f>Biz1bs!I13</f>
        <v>0</v>
      </c>
      <c r="J46" s="103">
        <f>Biz1bs!J13</f>
        <v>0</v>
      </c>
      <c r="K46" s="103">
        <f>Biz1bs!K13</f>
        <v>0</v>
      </c>
      <c r="L46" s="103">
        <f>Biz1bs!L13</f>
        <v>0</v>
      </c>
      <c r="M46" s="103">
        <f>Biz1bs!M13</f>
        <v>0</v>
      </c>
      <c r="N46" s="103">
        <f>Biz1bs!N13</f>
        <v>0</v>
      </c>
      <c r="O46" s="103">
        <f>Biz1bs!O13</f>
        <v>0</v>
      </c>
      <c r="P46" s="103">
        <f>Biz1bs!P13</f>
        <v>0</v>
      </c>
      <c r="Q46" s="103">
        <f>Biz1bs!Q13</f>
        <v>0</v>
      </c>
      <c r="R46"/>
    </row>
    <row r="47" spans="2:18" s="37" customFormat="1" hidden="1" outlineLevel="1" x14ac:dyDescent="0.25">
      <c r="B47" s="37" t="s">
        <v>545</v>
      </c>
      <c r="C47" s="102">
        <f>SUM(Biz2bs!D13:Q13)-SUM(D47:Q47)</f>
        <v>0</v>
      </c>
      <c r="D47" s="103">
        <f>Biz2bs!D13</f>
        <v>0</v>
      </c>
      <c r="E47" s="103">
        <f>Biz2bs!E13</f>
        <v>0</v>
      </c>
      <c r="F47" s="103">
        <f>Biz2bs!F13</f>
        <v>0</v>
      </c>
      <c r="G47" s="103">
        <f>Biz2bs!G13</f>
        <v>0</v>
      </c>
      <c r="H47" s="103">
        <f>Biz2bs!H13</f>
        <v>0</v>
      </c>
      <c r="I47" s="103">
        <f>Biz2bs!I13</f>
        <v>0</v>
      </c>
      <c r="J47" s="103">
        <f>Biz2bs!J13</f>
        <v>0</v>
      </c>
      <c r="K47" s="103">
        <f>Biz2bs!K13</f>
        <v>0</v>
      </c>
      <c r="L47" s="103">
        <f>Biz2bs!L13</f>
        <v>0</v>
      </c>
      <c r="M47" s="103">
        <f>Biz2bs!M13</f>
        <v>0</v>
      </c>
      <c r="N47" s="103">
        <f>Biz2bs!N13</f>
        <v>0</v>
      </c>
      <c r="O47" s="103">
        <f>Biz2bs!O13</f>
        <v>0</v>
      </c>
      <c r="P47" s="103">
        <f>Biz2bs!P13</f>
        <v>0</v>
      </c>
      <c r="Q47" s="103">
        <f>Biz2bs!Q13</f>
        <v>0</v>
      </c>
      <c r="R47"/>
    </row>
    <row r="48" spans="2:18" s="37" customFormat="1" hidden="1" outlineLevel="1" x14ac:dyDescent="0.25">
      <c r="B48" s="37" t="s">
        <v>546</v>
      </c>
      <c r="C48" s="102">
        <f>SUM(CORPbs!D13:Q13)-SUM(D48:Q48)</f>
        <v>0</v>
      </c>
      <c r="D48" s="103">
        <f>CORPbs!D13</f>
        <v>0</v>
      </c>
      <c r="E48" s="103">
        <f>CORPbs!E13</f>
        <v>0</v>
      </c>
      <c r="F48" s="103">
        <f>CORPbs!F13</f>
        <v>0</v>
      </c>
      <c r="G48" s="103">
        <f>CORPbs!G13</f>
        <v>0</v>
      </c>
      <c r="H48" s="103">
        <f>CORPbs!H13</f>
        <v>0</v>
      </c>
      <c r="I48" s="103">
        <f>CORPbs!I13</f>
        <v>0</v>
      </c>
      <c r="J48" s="103">
        <f>CORPbs!J13</f>
        <v>0</v>
      </c>
      <c r="K48" s="103">
        <f>CORPbs!K13</f>
        <v>0</v>
      </c>
      <c r="L48" s="103">
        <f>CORPbs!L13</f>
        <v>0</v>
      </c>
      <c r="M48" s="103">
        <f>CORPbs!M13</f>
        <v>0</v>
      </c>
      <c r="N48" s="103">
        <f>CORPbs!N13</f>
        <v>0</v>
      </c>
      <c r="O48" s="103">
        <f>CORPbs!O13</f>
        <v>0</v>
      </c>
      <c r="P48" s="103">
        <f>CORPbs!P13</f>
        <v>0</v>
      </c>
      <c r="Q48" s="103">
        <f>CORPbs!Q13</f>
        <v>0</v>
      </c>
      <c r="R48"/>
    </row>
    <row r="49" spans="2:18" s="97" customFormat="1" hidden="1" outlineLevel="1" x14ac:dyDescent="0.25">
      <c r="C49" s="91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/>
    </row>
    <row r="50" spans="2:18" s="97" customFormat="1" collapsed="1" x14ac:dyDescent="0.25">
      <c r="B50" s="37" t="s">
        <v>35</v>
      </c>
      <c r="C50" s="100">
        <f>SUM(D51:Q53)-SUM(D50:Q50)</f>
        <v>0</v>
      </c>
      <c r="D50" s="137">
        <f t="shared" ref="D50:Q50" si="9">SUM(D51:D53)</f>
        <v>136506</v>
      </c>
      <c r="E50" s="137">
        <f t="shared" si="9"/>
        <v>127974</v>
      </c>
      <c r="F50" s="137">
        <f t="shared" si="9"/>
        <v>132614</v>
      </c>
      <c r="G50" s="137">
        <f t="shared" si="9"/>
        <v>163521.23184325313</v>
      </c>
      <c r="H50" s="137">
        <f t="shared" si="9"/>
        <v>177329.42348508851</v>
      </c>
      <c r="I50" s="137">
        <f t="shared" si="9"/>
        <v>177329.42348508851</v>
      </c>
      <c r="J50" s="137">
        <f t="shared" si="9"/>
        <v>177329.42348508851</v>
      </c>
      <c r="K50" s="137">
        <f t="shared" si="9"/>
        <v>177329.42348508851</v>
      </c>
      <c r="L50" s="137">
        <f t="shared" si="9"/>
        <v>177329.42348508851</v>
      </c>
      <c r="M50" s="137">
        <f t="shared" si="9"/>
        <v>181172.25216997066</v>
      </c>
      <c r="N50" s="137">
        <f t="shared" si="9"/>
        <v>185280.10821160342</v>
      </c>
      <c r="O50" s="137">
        <f t="shared" si="9"/>
        <v>189256.5219349995</v>
      </c>
      <c r="P50" s="137">
        <f t="shared" si="9"/>
        <v>189256.5219349995</v>
      </c>
      <c r="Q50" s="137">
        <f t="shared" si="9"/>
        <v>189256.5219349995</v>
      </c>
      <c r="R50"/>
    </row>
    <row r="51" spans="2:18" s="97" customFormat="1" hidden="1" outlineLevel="1" x14ac:dyDescent="0.25">
      <c r="B51" s="37" t="s">
        <v>544</v>
      </c>
      <c r="C51" s="102">
        <f>SUM(Biz1bs!D14:Q14)-SUM(D51:Q51)</f>
        <v>0</v>
      </c>
      <c r="D51" s="96">
        <f t="shared" ref="D51:Q51" si="10">D41-D46</f>
        <v>136506</v>
      </c>
      <c r="E51" s="96">
        <f t="shared" si="10"/>
        <v>127974</v>
      </c>
      <c r="F51" s="96">
        <f t="shared" si="10"/>
        <v>132614</v>
      </c>
      <c r="G51" s="96">
        <f t="shared" si="10"/>
        <v>163521.23184325313</v>
      </c>
      <c r="H51" s="96">
        <f t="shared" si="10"/>
        <v>177329.42348508851</v>
      </c>
      <c r="I51" s="96">
        <f t="shared" si="10"/>
        <v>177329.42348508851</v>
      </c>
      <c r="J51" s="96">
        <f t="shared" si="10"/>
        <v>177329.42348508851</v>
      </c>
      <c r="K51" s="96">
        <f t="shared" si="10"/>
        <v>177329.42348508851</v>
      </c>
      <c r="L51" s="96">
        <f t="shared" si="10"/>
        <v>177329.42348508851</v>
      </c>
      <c r="M51" s="96">
        <f t="shared" si="10"/>
        <v>181172.25216997066</v>
      </c>
      <c r="N51" s="96">
        <f t="shared" si="10"/>
        <v>185280.10821160342</v>
      </c>
      <c r="O51" s="96">
        <f t="shared" si="10"/>
        <v>189256.5219349995</v>
      </c>
      <c r="P51" s="96">
        <f t="shared" si="10"/>
        <v>189256.5219349995</v>
      </c>
      <c r="Q51" s="96">
        <f t="shared" si="10"/>
        <v>189256.5219349995</v>
      </c>
      <c r="R51"/>
    </row>
    <row r="52" spans="2:18" s="97" customFormat="1" hidden="1" outlineLevel="1" x14ac:dyDescent="0.25">
      <c r="B52" s="37" t="s">
        <v>545</v>
      </c>
      <c r="C52" s="102">
        <f>SUM(Biz2bs!D14:Q14)-SUM(D52:Q52)</f>
        <v>0</v>
      </c>
      <c r="D52" s="96">
        <f t="shared" ref="D52:Q52" si="11">D42-D47</f>
        <v>0</v>
      </c>
      <c r="E52" s="96">
        <f t="shared" si="11"/>
        <v>0</v>
      </c>
      <c r="F52" s="96">
        <f t="shared" si="11"/>
        <v>0</v>
      </c>
      <c r="G52" s="96">
        <f t="shared" si="11"/>
        <v>0</v>
      </c>
      <c r="H52" s="96">
        <f t="shared" si="11"/>
        <v>0</v>
      </c>
      <c r="I52" s="96">
        <f t="shared" si="11"/>
        <v>0</v>
      </c>
      <c r="J52" s="96">
        <f t="shared" si="11"/>
        <v>0</v>
      </c>
      <c r="K52" s="96">
        <f t="shared" si="11"/>
        <v>0</v>
      </c>
      <c r="L52" s="96">
        <f t="shared" si="11"/>
        <v>0</v>
      </c>
      <c r="M52" s="96">
        <f t="shared" si="11"/>
        <v>0</v>
      </c>
      <c r="N52" s="96">
        <f t="shared" si="11"/>
        <v>0</v>
      </c>
      <c r="O52" s="96">
        <f t="shared" si="11"/>
        <v>0</v>
      </c>
      <c r="P52" s="96">
        <f t="shared" si="11"/>
        <v>0</v>
      </c>
      <c r="Q52" s="96">
        <f t="shared" si="11"/>
        <v>0</v>
      </c>
      <c r="R52"/>
    </row>
    <row r="53" spans="2:18" s="97" customFormat="1" hidden="1" outlineLevel="1" x14ac:dyDescent="0.25">
      <c r="B53" s="37" t="s">
        <v>546</v>
      </c>
      <c r="C53" s="102">
        <f>SUM(CORPbs!D14:Q14)-SUM(D53:Q53)</f>
        <v>0</v>
      </c>
      <c r="D53" s="96">
        <f t="shared" ref="D53:Q53" si="12">D43-D48</f>
        <v>0</v>
      </c>
      <c r="E53" s="96">
        <f t="shared" si="12"/>
        <v>0</v>
      </c>
      <c r="F53" s="96">
        <f t="shared" si="12"/>
        <v>0</v>
      </c>
      <c r="G53" s="96">
        <f t="shared" si="12"/>
        <v>0</v>
      </c>
      <c r="H53" s="96">
        <f t="shared" si="12"/>
        <v>0</v>
      </c>
      <c r="I53" s="96">
        <f t="shared" si="12"/>
        <v>0</v>
      </c>
      <c r="J53" s="96">
        <f t="shared" si="12"/>
        <v>0</v>
      </c>
      <c r="K53" s="96">
        <f t="shared" si="12"/>
        <v>0</v>
      </c>
      <c r="L53" s="96">
        <f t="shared" si="12"/>
        <v>0</v>
      </c>
      <c r="M53" s="96">
        <f t="shared" si="12"/>
        <v>0</v>
      </c>
      <c r="N53" s="96">
        <f t="shared" si="12"/>
        <v>0</v>
      </c>
      <c r="O53" s="96">
        <f t="shared" si="12"/>
        <v>0</v>
      </c>
      <c r="P53" s="96">
        <f t="shared" si="12"/>
        <v>0</v>
      </c>
      <c r="Q53" s="96">
        <f t="shared" si="12"/>
        <v>0</v>
      </c>
      <c r="R53"/>
    </row>
    <row r="54" spans="2:18" s="37" customFormat="1" hidden="1" outlineLevel="1" x14ac:dyDescent="0.25">
      <c r="C54" s="91"/>
      <c r="H54" s="1"/>
      <c r="M54" s="1"/>
      <c r="N54" s="1"/>
      <c r="O54" s="1"/>
      <c r="P54" s="1"/>
      <c r="Q54" s="1"/>
      <c r="R54"/>
    </row>
    <row r="55" spans="2:18" s="37" customFormat="1" collapsed="1" x14ac:dyDescent="0.25">
      <c r="B55" s="37" t="s">
        <v>36</v>
      </c>
      <c r="C55" s="100">
        <f>SUM(D55:Q55)-SUM(D56:Q58)</f>
        <v>0</v>
      </c>
      <c r="D55" s="101">
        <f t="shared" ref="D55:Q55" si="13">SUM(D56:D58)</f>
        <v>0</v>
      </c>
      <c r="E55" s="134">
        <f t="shared" si="13"/>
        <v>0</v>
      </c>
      <c r="F55" s="134">
        <f t="shared" si="13"/>
        <v>0</v>
      </c>
      <c r="G55" s="134">
        <f t="shared" si="13"/>
        <v>0</v>
      </c>
      <c r="H55" s="134">
        <f t="shared" si="13"/>
        <v>0</v>
      </c>
      <c r="I55" s="134">
        <f t="shared" si="13"/>
        <v>0</v>
      </c>
      <c r="J55" s="134">
        <f t="shared" si="13"/>
        <v>0</v>
      </c>
      <c r="K55" s="134">
        <f t="shared" si="13"/>
        <v>0</v>
      </c>
      <c r="L55" s="134">
        <f t="shared" si="13"/>
        <v>0</v>
      </c>
      <c r="M55" s="134">
        <f t="shared" si="13"/>
        <v>0</v>
      </c>
      <c r="N55" s="134">
        <f t="shared" si="13"/>
        <v>0</v>
      </c>
      <c r="O55" s="134">
        <f t="shared" si="13"/>
        <v>0</v>
      </c>
      <c r="P55" s="134">
        <f t="shared" si="13"/>
        <v>0</v>
      </c>
      <c r="Q55" s="134">
        <f t="shared" si="13"/>
        <v>0</v>
      </c>
      <c r="R55"/>
    </row>
    <row r="56" spans="2:18" s="37" customFormat="1" hidden="1" outlineLevel="1" x14ac:dyDescent="0.25">
      <c r="B56" s="37" t="s">
        <v>544</v>
      </c>
      <c r="C56" s="102">
        <f>SUM(Biz1bs!D15:Q15)-SUM(D56:Q56)</f>
        <v>0</v>
      </c>
      <c r="D56" s="103">
        <f>Biz1bs!D15</f>
        <v>0</v>
      </c>
      <c r="E56" s="103">
        <f>Biz1bs!E15</f>
        <v>0</v>
      </c>
      <c r="F56" s="103">
        <f>Biz1bs!F15</f>
        <v>0</v>
      </c>
      <c r="G56" s="103">
        <f>Biz1bs!G15</f>
        <v>0</v>
      </c>
      <c r="H56" s="103">
        <f>Biz1bs!H15</f>
        <v>0</v>
      </c>
      <c r="I56" s="103">
        <f>Biz1bs!I15</f>
        <v>0</v>
      </c>
      <c r="J56" s="103">
        <f>Biz1bs!J15</f>
        <v>0</v>
      </c>
      <c r="K56" s="103">
        <f>Biz1bs!K15</f>
        <v>0</v>
      </c>
      <c r="L56" s="103">
        <f>Biz1bs!L15</f>
        <v>0</v>
      </c>
      <c r="M56" s="103">
        <f>Biz1bs!M15</f>
        <v>0</v>
      </c>
      <c r="N56" s="103">
        <f>Biz1bs!N15</f>
        <v>0</v>
      </c>
      <c r="O56" s="103">
        <f>Biz1bs!O15</f>
        <v>0</v>
      </c>
      <c r="P56" s="103">
        <f>Biz1bs!P15</f>
        <v>0</v>
      </c>
      <c r="Q56" s="103">
        <f>Biz1bs!Q15</f>
        <v>0</v>
      </c>
      <c r="R56"/>
    </row>
    <row r="57" spans="2:18" s="37" customFormat="1" hidden="1" outlineLevel="1" x14ac:dyDescent="0.25">
      <c r="B57" s="37" t="s">
        <v>545</v>
      </c>
      <c r="C57" s="102">
        <f>SUM(Biz2bs!D15:Q15)-SUM(D57:Q57)</f>
        <v>0</v>
      </c>
      <c r="D57" s="103">
        <f>Biz2bs!D15</f>
        <v>0</v>
      </c>
      <c r="E57" s="103">
        <f>Biz2bs!E15</f>
        <v>0</v>
      </c>
      <c r="F57" s="103">
        <f>Biz2bs!F15</f>
        <v>0</v>
      </c>
      <c r="G57" s="103">
        <f>Biz2bs!G15</f>
        <v>0</v>
      </c>
      <c r="H57" s="103">
        <f>Biz2bs!H15</f>
        <v>0</v>
      </c>
      <c r="I57" s="103">
        <f>Biz2bs!I15</f>
        <v>0</v>
      </c>
      <c r="J57" s="103">
        <f>Biz2bs!J15</f>
        <v>0</v>
      </c>
      <c r="K57" s="103">
        <f>Biz2bs!K15</f>
        <v>0</v>
      </c>
      <c r="L57" s="103">
        <f>Biz2bs!L15</f>
        <v>0</v>
      </c>
      <c r="M57" s="103">
        <f>Biz2bs!M15</f>
        <v>0</v>
      </c>
      <c r="N57" s="103">
        <f>Biz2bs!N15</f>
        <v>0</v>
      </c>
      <c r="O57" s="103">
        <f>Biz2bs!O15</f>
        <v>0</v>
      </c>
      <c r="P57" s="103">
        <f>Biz2bs!P15</f>
        <v>0</v>
      </c>
      <c r="Q57" s="103">
        <f>Biz2bs!Q15</f>
        <v>0</v>
      </c>
      <c r="R57"/>
    </row>
    <row r="58" spans="2:18" s="37" customFormat="1" hidden="1" outlineLevel="1" x14ac:dyDescent="0.25">
      <c r="B58" s="37" t="s">
        <v>546</v>
      </c>
      <c r="C58" s="102">
        <f>SUM(CORPbs!D15:Q15)-SUM(D58:Q58)</f>
        <v>0</v>
      </c>
      <c r="D58" s="103">
        <f>CORPbs!D15</f>
        <v>0</v>
      </c>
      <c r="E58" s="103">
        <f>CORPbs!E15</f>
        <v>0</v>
      </c>
      <c r="F58" s="103">
        <f>CORPbs!F15</f>
        <v>0</v>
      </c>
      <c r="G58" s="103">
        <f>CORPbs!G15</f>
        <v>0</v>
      </c>
      <c r="H58" s="103">
        <f>CORPbs!H15</f>
        <v>0</v>
      </c>
      <c r="I58" s="103">
        <f>CORPbs!I15</f>
        <v>0</v>
      </c>
      <c r="J58" s="103">
        <f>CORPbs!J15</f>
        <v>0</v>
      </c>
      <c r="K58" s="103">
        <f>CORPbs!K15</f>
        <v>0</v>
      </c>
      <c r="L58" s="103">
        <f>CORPbs!L15</f>
        <v>0</v>
      </c>
      <c r="M58" s="103">
        <f>CORPbs!M15</f>
        <v>0</v>
      </c>
      <c r="N58" s="103">
        <f>CORPbs!N15</f>
        <v>0</v>
      </c>
      <c r="O58" s="103">
        <f>CORPbs!O15</f>
        <v>0</v>
      </c>
      <c r="P58" s="103">
        <f>CORPbs!P15</f>
        <v>0</v>
      </c>
      <c r="Q58" s="103">
        <f>CORPbs!Q15</f>
        <v>0</v>
      </c>
      <c r="R58"/>
    </row>
    <row r="59" spans="2:18" s="97" customFormat="1" hidden="1" outlineLevel="1" x14ac:dyDescent="0.25">
      <c r="C59" s="91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/>
    </row>
    <row r="60" spans="2:18" s="37" customFormat="1" collapsed="1" x14ac:dyDescent="0.25">
      <c r="B60" s="104" t="s">
        <v>97</v>
      </c>
      <c r="C60" s="100">
        <f>SUM(D60:Q60)-SUM(D61:Q63)</f>
        <v>0</v>
      </c>
      <c r="D60" s="101">
        <f t="shared" ref="D60:Q60" si="14">SUM(D61:D63)</f>
        <v>99061</v>
      </c>
      <c r="E60" s="134">
        <f t="shared" si="14"/>
        <v>96902</v>
      </c>
      <c r="F60" s="134">
        <f t="shared" si="14"/>
        <v>90679</v>
      </c>
      <c r="G60" s="134">
        <f t="shared" si="14"/>
        <v>82613.440321162576</v>
      </c>
      <c r="H60" s="134">
        <f t="shared" si="14"/>
        <v>75007.40664142379</v>
      </c>
      <c r="I60" s="134">
        <f t="shared" si="14"/>
        <v>75007.40664142379</v>
      </c>
      <c r="J60" s="134">
        <f t="shared" si="14"/>
        <v>75007.40664142379</v>
      </c>
      <c r="K60" s="134">
        <f t="shared" si="14"/>
        <v>75007.40664142379</v>
      </c>
      <c r="L60" s="134">
        <f t="shared" si="14"/>
        <v>75007.40664142379</v>
      </c>
      <c r="M60" s="134">
        <f t="shared" si="14"/>
        <v>71580.737641423795</v>
      </c>
      <c r="N60" s="134">
        <f t="shared" si="14"/>
        <v>68300.017641423794</v>
      </c>
      <c r="O60" s="134">
        <f t="shared" si="14"/>
        <v>64867.21364142379</v>
      </c>
      <c r="P60" s="134">
        <f t="shared" si="14"/>
        <v>64867.21364142379</v>
      </c>
      <c r="Q60" s="134">
        <f t="shared" si="14"/>
        <v>64867.21364142379</v>
      </c>
      <c r="R60"/>
    </row>
    <row r="61" spans="2:18" s="37" customFormat="1" hidden="1" outlineLevel="1" x14ac:dyDescent="0.25">
      <c r="B61" s="37" t="s">
        <v>544</v>
      </c>
      <c r="C61" s="102">
        <f>SUM(Biz1bs!D16:Q16)-SUM(D61:Q61)</f>
        <v>0</v>
      </c>
      <c r="D61" s="103">
        <f>Biz1bs!D16</f>
        <v>0</v>
      </c>
      <c r="E61" s="103">
        <f>Biz1bs!E16</f>
        <v>0</v>
      </c>
      <c r="F61" s="103">
        <f>Biz1bs!F16</f>
        <v>0</v>
      </c>
      <c r="G61" s="103">
        <f>Biz1bs!G16</f>
        <v>0</v>
      </c>
      <c r="H61" s="103">
        <f>Biz1bs!H16</f>
        <v>0</v>
      </c>
      <c r="I61" s="103">
        <f>Biz1bs!I16</f>
        <v>0</v>
      </c>
      <c r="J61" s="103">
        <f>Biz1bs!J16</f>
        <v>0</v>
      </c>
      <c r="K61" s="103">
        <f>Biz1bs!K16</f>
        <v>0</v>
      </c>
      <c r="L61" s="103">
        <f>Biz1bs!L16</f>
        <v>0</v>
      </c>
      <c r="M61" s="103">
        <f>Biz1bs!M16</f>
        <v>0</v>
      </c>
      <c r="N61" s="103">
        <f>Biz1bs!N16</f>
        <v>0</v>
      </c>
      <c r="O61" s="103">
        <f>Biz1bs!O16</f>
        <v>0</v>
      </c>
      <c r="P61" s="103">
        <f>Biz1bs!P16</f>
        <v>0</v>
      </c>
      <c r="Q61" s="103">
        <f>Biz1bs!Q16</f>
        <v>0</v>
      </c>
      <c r="R61"/>
    </row>
    <row r="62" spans="2:18" s="37" customFormat="1" hidden="1" outlineLevel="1" x14ac:dyDescent="0.25">
      <c r="B62" s="37" t="s">
        <v>545</v>
      </c>
      <c r="C62" s="102">
        <f>SUM(Biz2bs!D16:Q16)-SUM(D62:Q62)</f>
        <v>0</v>
      </c>
      <c r="D62" s="103">
        <f>Biz2bs!D16</f>
        <v>0</v>
      </c>
      <c r="E62" s="103">
        <f>Biz2bs!E16</f>
        <v>0</v>
      </c>
      <c r="F62" s="103">
        <f>Biz2bs!F16</f>
        <v>0</v>
      </c>
      <c r="G62" s="103">
        <f>Biz2bs!G16</f>
        <v>0</v>
      </c>
      <c r="H62" s="103">
        <f>Biz2bs!H16</f>
        <v>0</v>
      </c>
      <c r="I62" s="103">
        <f>Biz2bs!I16</f>
        <v>0</v>
      </c>
      <c r="J62" s="103">
        <f>Biz2bs!J16</f>
        <v>0</v>
      </c>
      <c r="K62" s="103">
        <f>Biz2bs!K16</f>
        <v>0</v>
      </c>
      <c r="L62" s="103">
        <f>Biz2bs!L16</f>
        <v>0</v>
      </c>
      <c r="M62" s="103">
        <f>Biz2bs!M16</f>
        <v>0</v>
      </c>
      <c r="N62" s="103">
        <f>Biz2bs!N16</f>
        <v>0</v>
      </c>
      <c r="O62" s="103">
        <f>Biz2bs!O16</f>
        <v>0</v>
      </c>
      <c r="P62" s="103">
        <f>Biz2bs!P16</f>
        <v>0</v>
      </c>
      <c r="Q62" s="103">
        <f>Biz2bs!Q16</f>
        <v>0</v>
      </c>
      <c r="R62"/>
    </row>
    <row r="63" spans="2:18" s="37" customFormat="1" hidden="1" outlineLevel="1" x14ac:dyDescent="0.25">
      <c r="B63" s="37" t="s">
        <v>546</v>
      </c>
      <c r="C63" s="102">
        <f>SUM(CORPbs!D16:Q16)-SUM(D63:Q63)</f>
        <v>0</v>
      </c>
      <c r="D63" s="103">
        <f>CORPbs!D16</f>
        <v>99061</v>
      </c>
      <c r="E63" s="103">
        <f>CORPbs!E16</f>
        <v>96902</v>
      </c>
      <c r="F63" s="103">
        <f>CORPbs!F16</f>
        <v>90679</v>
      </c>
      <c r="G63" s="103">
        <f>CORPbs!G16</f>
        <v>82613.440321162576</v>
      </c>
      <c r="H63" s="103">
        <f>CORPbs!H16</f>
        <v>75007.40664142379</v>
      </c>
      <c r="I63" s="103">
        <f>CORPbs!I16</f>
        <v>75007.40664142379</v>
      </c>
      <c r="J63" s="103">
        <f>CORPbs!J16</f>
        <v>75007.40664142379</v>
      </c>
      <c r="K63" s="103">
        <f>CORPbs!K16</f>
        <v>75007.40664142379</v>
      </c>
      <c r="L63" s="103">
        <f>CORPbs!L16</f>
        <v>75007.40664142379</v>
      </c>
      <c r="M63" s="103">
        <f>CORPbs!M16</f>
        <v>71580.737641423795</v>
      </c>
      <c r="N63" s="103">
        <f>CORPbs!N16</f>
        <v>68300.017641423794</v>
      </c>
      <c r="O63" s="103">
        <f>CORPbs!O16</f>
        <v>64867.21364142379</v>
      </c>
      <c r="P63" s="103">
        <f>CORPbs!P16</f>
        <v>64867.21364142379</v>
      </c>
      <c r="Q63" s="103">
        <f>CORPbs!Q16</f>
        <v>64867.21364142379</v>
      </c>
      <c r="R63"/>
    </row>
    <row r="64" spans="2:18" s="97" customFormat="1" hidden="1" outlineLevel="1" x14ac:dyDescent="0.25">
      <c r="C64" s="91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/>
    </row>
    <row r="65" spans="1:18" s="106" customFormat="1" collapsed="1" x14ac:dyDescent="0.25">
      <c r="A65" s="1" t="s">
        <v>37</v>
      </c>
      <c r="C65" s="100">
        <f>SUM(D66:Q68)-SUM(D65:Q65)</f>
        <v>0</v>
      </c>
      <c r="D65" s="105">
        <f t="shared" ref="D65:Q65" si="15">SUM(D66:D68)</f>
        <v>862097.59323060035</v>
      </c>
      <c r="E65" s="105">
        <f t="shared" si="15"/>
        <v>715646.93610052019</v>
      </c>
      <c r="F65" s="105">
        <f t="shared" si="15"/>
        <v>656517.1304331905</v>
      </c>
      <c r="G65" s="105">
        <f t="shared" si="15"/>
        <v>756057.37114771223</v>
      </c>
      <c r="H65" s="105">
        <f t="shared" si="15"/>
        <v>704197.1433584824</v>
      </c>
      <c r="I65" s="105">
        <f t="shared" si="15"/>
        <v>685972.97874504863</v>
      </c>
      <c r="J65" s="105">
        <f t="shared" si="15"/>
        <v>685961.70502961962</v>
      </c>
      <c r="K65" s="105">
        <f t="shared" si="15"/>
        <v>685950.43131419073</v>
      </c>
      <c r="L65" s="105">
        <f t="shared" si="15"/>
        <v>685939.15759876184</v>
      </c>
      <c r="M65" s="105">
        <f t="shared" si="15"/>
        <v>645386.92912831251</v>
      </c>
      <c r="N65" s="105">
        <f t="shared" si="15"/>
        <v>681891.98408279312</v>
      </c>
      <c r="O65" s="105">
        <f t="shared" si="15"/>
        <v>700079.21437591454</v>
      </c>
      <c r="P65" s="105">
        <f t="shared" si="15"/>
        <v>700408.80846512166</v>
      </c>
      <c r="Q65" s="105">
        <f t="shared" si="15"/>
        <v>681314.40969208581</v>
      </c>
      <c r="R65"/>
    </row>
    <row r="66" spans="1:18" s="52" customFormat="1" hidden="1" outlineLevel="1" x14ac:dyDescent="0.25">
      <c r="B66" s="53" t="s">
        <v>544</v>
      </c>
      <c r="C66" s="17">
        <f>SUM(Biz1bs!D17:Q17)-SUM(D66:Q66)</f>
        <v>0</v>
      </c>
      <c r="D66" s="54">
        <f t="shared" ref="D66:Q66" si="16">SUM(D6,D11,D16,D21,D26,D31,D36,D51,D56,D61)</f>
        <v>278623.22872375749</v>
      </c>
      <c r="E66" s="54">
        <f t="shared" si="16"/>
        <v>186944.78261258226</v>
      </c>
      <c r="F66" s="54">
        <f t="shared" si="16"/>
        <v>175067.95930731346</v>
      </c>
      <c r="G66" s="54">
        <f t="shared" si="16"/>
        <v>308303.81888976699</v>
      </c>
      <c r="H66" s="54">
        <f t="shared" si="16"/>
        <v>345575.02176719118</v>
      </c>
      <c r="I66" s="54">
        <f t="shared" si="16"/>
        <v>333653.32676567126</v>
      </c>
      <c r="J66" s="54">
        <f t="shared" si="16"/>
        <v>339944.52266215615</v>
      </c>
      <c r="K66" s="54">
        <f t="shared" si="16"/>
        <v>346235.71855864115</v>
      </c>
      <c r="L66" s="54">
        <f t="shared" si="16"/>
        <v>352526.9144551261</v>
      </c>
      <c r="M66" s="54">
        <f t="shared" si="16"/>
        <v>403701.9788715936</v>
      </c>
      <c r="N66" s="54">
        <f t="shared" si="16"/>
        <v>466862.13620575005</v>
      </c>
      <c r="O66" s="54">
        <f t="shared" si="16"/>
        <v>513602.19292256748</v>
      </c>
      <c r="P66" s="54">
        <f t="shared" si="16"/>
        <v>548526.85468364763</v>
      </c>
      <c r="Q66" s="54">
        <f t="shared" si="16"/>
        <v>564691.04554869351</v>
      </c>
      <c r="R66"/>
    </row>
    <row r="67" spans="1:18" s="52" customFormat="1" hidden="1" outlineLevel="1" x14ac:dyDescent="0.25">
      <c r="B67" s="53" t="s">
        <v>545</v>
      </c>
      <c r="C67" s="17">
        <f>SUM(Biz2bs!D17:Q17)-SUM(D67:Q67)</f>
        <v>0</v>
      </c>
      <c r="D67" s="54">
        <f t="shared" ref="D67:Q67" si="17">SUM(D7,D12,D17,D22,D27,D32,D37,D52,D57,D62)</f>
        <v>53270.674506842901</v>
      </c>
      <c r="E67" s="54">
        <f t="shared" si="17"/>
        <v>32263.34448793796</v>
      </c>
      <c r="F67" s="54">
        <f t="shared" si="17"/>
        <v>31327.019125877036</v>
      </c>
      <c r="G67" s="54">
        <f t="shared" si="17"/>
        <v>26301.566257945175</v>
      </c>
      <c r="H67" s="54">
        <f t="shared" si="17"/>
        <v>35211.737624684873</v>
      </c>
      <c r="I67" s="54">
        <f t="shared" si="17"/>
        <v>35689.653276550467</v>
      </c>
      <c r="J67" s="54">
        <f t="shared" si="17"/>
        <v>36167.568928416069</v>
      </c>
      <c r="K67" s="54">
        <f t="shared" si="17"/>
        <v>36645.484580281671</v>
      </c>
      <c r="L67" s="54">
        <f t="shared" si="17"/>
        <v>37123.400232147265</v>
      </c>
      <c r="M67" s="54">
        <f t="shared" si="17"/>
        <v>40871.113654501896</v>
      </c>
      <c r="N67" s="54">
        <f t="shared" si="17"/>
        <v>43543.381365486879</v>
      </c>
      <c r="O67" s="54">
        <f t="shared" si="17"/>
        <v>46141.339037608312</v>
      </c>
      <c r="P67" s="54">
        <f t="shared" si="17"/>
        <v>48294.147840692851</v>
      </c>
      <c r="Q67" s="54">
        <f t="shared" si="17"/>
        <v>49783.255501968575</v>
      </c>
      <c r="R67"/>
    </row>
    <row r="68" spans="1:18" s="52" customFormat="1" hidden="1" outlineLevel="1" x14ac:dyDescent="0.25">
      <c r="B68" s="53" t="s">
        <v>546</v>
      </c>
      <c r="C68" s="17">
        <f>SUM(CORPbs!D17:Q17)-SUM(D68:Q68)</f>
        <v>0</v>
      </c>
      <c r="D68" s="54">
        <f t="shared" ref="D68:Q68" si="18">SUM(D8,D13,D18,D23,D28,D33,D38,D53,D58,D63)</f>
        <v>530203.68999999994</v>
      </c>
      <c r="E68" s="54">
        <f t="shared" si="18"/>
        <v>496438.80900000001</v>
      </c>
      <c r="F68" s="54">
        <f t="shared" si="18"/>
        <v>450122.152</v>
      </c>
      <c r="G68" s="54">
        <f t="shared" si="18"/>
        <v>421451.98600000003</v>
      </c>
      <c r="H68" s="54">
        <f t="shared" si="18"/>
        <v>323410.38396660634</v>
      </c>
      <c r="I68" s="54">
        <f t="shared" si="18"/>
        <v>316629.99870282685</v>
      </c>
      <c r="J68" s="54">
        <f t="shared" si="18"/>
        <v>309849.61343904736</v>
      </c>
      <c r="K68" s="54">
        <f t="shared" si="18"/>
        <v>303069.22817526793</v>
      </c>
      <c r="L68" s="54">
        <f t="shared" si="18"/>
        <v>296288.84291148849</v>
      </c>
      <c r="M68" s="54">
        <f t="shared" si="18"/>
        <v>200813.83660221702</v>
      </c>
      <c r="N68" s="54">
        <f t="shared" si="18"/>
        <v>171486.46651155624</v>
      </c>
      <c r="O68" s="54">
        <f t="shared" si="18"/>
        <v>140335.68241573876</v>
      </c>
      <c r="P68" s="54">
        <f t="shared" si="18"/>
        <v>103587.80594078117</v>
      </c>
      <c r="Q68" s="54">
        <f t="shared" si="18"/>
        <v>66840.108641423794</v>
      </c>
      <c r="R68"/>
    </row>
    <row r="69" spans="1:18" s="50" customFormat="1" hidden="1" outlineLevel="1" x14ac:dyDescent="0.25">
      <c r="A69" s="49"/>
      <c r="B69" s="49"/>
      <c r="C69" s="2"/>
      <c r="H69" s="51"/>
      <c r="M69" s="51"/>
      <c r="N69" s="51"/>
      <c r="O69" s="51"/>
      <c r="P69" s="51"/>
      <c r="Q69" s="51"/>
      <c r="R69"/>
    </row>
    <row r="70" spans="1:18" s="47" customFormat="1" collapsed="1" x14ac:dyDescent="0.25">
      <c r="C70" s="2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/>
    </row>
    <row r="71" spans="1:18" s="55" customFormat="1" x14ac:dyDescent="0.25">
      <c r="A71" s="43" t="s">
        <v>38</v>
      </c>
      <c r="C71" s="2"/>
      <c r="D71" s="56"/>
      <c r="E71" s="56"/>
      <c r="F71" s="56"/>
      <c r="G71" s="57"/>
      <c r="H71" s="58"/>
      <c r="I71" s="59"/>
      <c r="J71" s="59"/>
      <c r="K71" s="59"/>
      <c r="L71" s="59"/>
      <c r="M71" s="58"/>
      <c r="N71" s="58"/>
      <c r="O71" s="58"/>
      <c r="P71" s="58"/>
      <c r="Q71" s="58"/>
      <c r="R71"/>
    </row>
    <row r="72" spans="1:18" s="55" customFormat="1" x14ac:dyDescent="0.25">
      <c r="B72" s="55" t="s">
        <v>39</v>
      </c>
      <c r="C72" s="15">
        <f>SUM(D72:Q72)-SUM(D73:Q75)</f>
        <v>0</v>
      </c>
      <c r="D72" s="60">
        <f t="shared" ref="D72:Q72" si="19">SUM(D73:D75)</f>
        <v>0</v>
      </c>
      <c r="E72" s="61">
        <f t="shared" si="19"/>
        <v>0</v>
      </c>
      <c r="F72" s="61">
        <f t="shared" si="19"/>
        <v>2629.5790000000002</v>
      </c>
      <c r="G72" s="61">
        <f t="shared" si="19"/>
        <v>16858</v>
      </c>
      <c r="H72" s="61">
        <f t="shared" si="19"/>
        <v>-7115</v>
      </c>
      <c r="I72" s="61">
        <f t="shared" si="19"/>
        <v>0</v>
      </c>
      <c r="J72" s="61">
        <f t="shared" si="19"/>
        <v>0</v>
      </c>
      <c r="K72" s="61">
        <f t="shared" si="19"/>
        <v>0</v>
      </c>
      <c r="L72" s="61">
        <f t="shared" si="19"/>
        <v>0</v>
      </c>
      <c r="M72" s="61">
        <f t="shared" si="19"/>
        <v>0</v>
      </c>
      <c r="N72" s="61">
        <f t="shared" si="19"/>
        <v>0</v>
      </c>
      <c r="O72" s="61">
        <f t="shared" si="19"/>
        <v>0</v>
      </c>
      <c r="P72" s="61">
        <f t="shared" si="19"/>
        <v>0</v>
      </c>
      <c r="Q72" s="61">
        <f t="shared" si="19"/>
        <v>0</v>
      </c>
      <c r="R72"/>
    </row>
    <row r="73" spans="1:18" s="55" customFormat="1" hidden="1" outlineLevel="1" x14ac:dyDescent="0.25">
      <c r="B73" s="55" t="s">
        <v>544</v>
      </c>
      <c r="C73" s="17">
        <f>SUM(Biz1bs!D20:Q20)-SUM(D73:Q73)</f>
        <v>0</v>
      </c>
      <c r="D73" s="62">
        <f>Biz1bs!D20</f>
        <v>0</v>
      </c>
      <c r="E73" s="62">
        <f>Biz1bs!E20</f>
        <v>0</v>
      </c>
      <c r="F73" s="62">
        <f>Biz1bs!F20</f>
        <v>0</v>
      </c>
      <c r="G73" s="62">
        <f>Biz1bs!G20</f>
        <v>18250</v>
      </c>
      <c r="H73" s="62">
        <f>Biz1bs!H20</f>
        <v>-8250</v>
      </c>
      <c r="I73" s="62">
        <f>Biz1bs!I20</f>
        <v>0</v>
      </c>
      <c r="J73" s="62">
        <f>Biz1bs!J20</f>
        <v>0</v>
      </c>
      <c r="K73" s="62">
        <f>Biz1bs!K20</f>
        <v>0</v>
      </c>
      <c r="L73" s="62">
        <f>Biz1bs!L20</f>
        <v>0</v>
      </c>
      <c r="M73" s="62">
        <f>Biz1bs!M20</f>
        <v>0</v>
      </c>
      <c r="N73" s="62">
        <f>Biz1bs!N20</f>
        <v>0</v>
      </c>
      <c r="O73" s="62">
        <f>Biz1bs!O20</f>
        <v>0</v>
      </c>
      <c r="P73" s="62">
        <f>Biz1bs!P20</f>
        <v>0</v>
      </c>
      <c r="Q73" s="62">
        <f>Biz1bs!Q20</f>
        <v>0</v>
      </c>
      <c r="R73"/>
    </row>
    <row r="74" spans="1:18" s="55" customFormat="1" hidden="1" outlineLevel="1" x14ac:dyDescent="0.25">
      <c r="B74" s="55" t="s">
        <v>545</v>
      </c>
      <c r="C74" s="17">
        <f>SUM(Biz2bs!D20:Q20)-SUM(D74:Q74)</f>
        <v>0</v>
      </c>
      <c r="D74" s="62">
        <f>Biz2bs!D20</f>
        <v>0</v>
      </c>
      <c r="E74" s="62">
        <f>Biz2bs!E20</f>
        <v>0</v>
      </c>
      <c r="F74" s="62">
        <f>Biz2bs!F20</f>
        <v>2629.5790000000002</v>
      </c>
      <c r="G74" s="62">
        <f>Biz2bs!G20</f>
        <v>-1392</v>
      </c>
      <c r="H74" s="62">
        <f>Biz2bs!H20</f>
        <v>1135</v>
      </c>
      <c r="I74" s="62">
        <f>Biz2bs!I20</f>
        <v>0</v>
      </c>
      <c r="J74" s="62">
        <f>Biz2bs!J20</f>
        <v>0</v>
      </c>
      <c r="K74" s="62">
        <f>Biz2bs!K20</f>
        <v>0</v>
      </c>
      <c r="L74" s="62">
        <f>Biz2bs!L20</f>
        <v>0</v>
      </c>
      <c r="M74" s="62">
        <f>Biz2bs!M20</f>
        <v>0</v>
      </c>
      <c r="N74" s="62">
        <f>Biz2bs!N20</f>
        <v>0</v>
      </c>
      <c r="O74" s="62">
        <f>Biz2bs!O20</f>
        <v>0</v>
      </c>
      <c r="P74" s="62">
        <f>Biz2bs!P20</f>
        <v>0</v>
      </c>
      <c r="Q74" s="62">
        <f>Biz2bs!Q20</f>
        <v>0</v>
      </c>
      <c r="R74"/>
    </row>
    <row r="75" spans="1:18" s="55" customFormat="1" hidden="1" outlineLevel="1" x14ac:dyDescent="0.25">
      <c r="B75" s="55" t="s">
        <v>546</v>
      </c>
      <c r="C75" s="17">
        <f>SUM(CORPbs!D20:Q20)-SUM(D75:Q75)</f>
        <v>0</v>
      </c>
      <c r="D75" s="62">
        <f>CORPbs!D20</f>
        <v>0</v>
      </c>
      <c r="E75" s="62">
        <f>CORPbs!E20</f>
        <v>0</v>
      </c>
      <c r="F75" s="62">
        <f>CORPbs!F20</f>
        <v>0</v>
      </c>
      <c r="G75" s="62">
        <f>CORPbs!G20</f>
        <v>0</v>
      </c>
      <c r="H75" s="62">
        <f>CORPbs!H20</f>
        <v>0</v>
      </c>
      <c r="I75" s="62">
        <f>CORPbs!I20</f>
        <v>0</v>
      </c>
      <c r="J75" s="62">
        <f>CORPbs!J20</f>
        <v>0</v>
      </c>
      <c r="K75" s="62">
        <f>CORPbs!K20</f>
        <v>0</v>
      </c>
      <c r="L75" s="62">
        <f>CORPbs!L20</f>
        <v>0</v>
      </c>
      <c r="M75" s="62">
        <f>CORPbs!M20</f>
        <v>0</v>
      </c>
      <c r="N75" s="62">
        <f>CORPbs!N20</f>
        <v>0</v>
      </c>
      <c r="O75" s="62">
        <f>CORPbs!O20</f>
        <v>0</v>
      </c>
      <c r="P75" s="62">
        <f>CORPbs!P20</f>
        <v>0</v>
      </c>
      <c r="Q75" s="62">
        <f>CORPbs!Q20</f>
        <v>0</v>
      </c>
      <c r="R75"/>
    </row>
    <row r="76" spans="1:18" s="63" customFormat="1" hidden="1" outlineLevel="1" x14ac:dyDescent="0.25">
      <c r="C76" s="2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/>
    </row>
    <row r="77" spans="1:18" s="55" customFormat="1" collapsed="1" x14ac:dyDescent="0.25">
      <c r="B77" s="55" t="s">
        <v>124</v>
      </c>
      <c r="C77" s="15">
        <f>SUM(D77:Q77)-SUM(D78:Q80)</f>
        <v>0</v>
      </c>
      <c r="D77" s="60">
        <f t="shared" ref="D77:Q77" si="20">SUM(D78:D80)</f>
        <v>146603.86843504239</v>
      </c>
      <c r="E77" s="61">
        <f t="shared" si="20"/>
        <v>71542.751304962207</v>
      </c>
      <c r="F77" s="61">
        <f t="shared" si="20"/>
        <v>64040.176637632467</v>
      </c>
      <c r="G77" s="61">
        <f t="shared" si="20"/>
        <v>147447.74066140049</v>
      </c>
      <c r="H77" s="61">
        <f t="shared" si="20"/>
        <v>187945.31432437035</v>
      </c>
      <c r="I77" s="61">
        <f t="shared" si="20"/>
        <v>168484.89389320021</v>
      </c>
      <c r="J77" s="61">
        <f t="shared" si="20"/>
        <v>168484.89389320021</v>
      </c>
      <c r="K77" s="61">
        <f t="shared" si="20"/>
        <v>168484.89389320021</v>
      </c>
      <c r="L77" s="61">
        <f t="shared" si="20"/>
        <v>168484.89389320021</v>
      </c>
      <c r="M77" s="61">
        <f t="shared" si="20"/>
        <v>188537.01076602482</v>
      </c>
      <c r="N77" s="61">
        <f t="shared" si="20"/>
        <v>214911.11926111329</v>
      </c>
      <c r="O77" s="61">
        <f t="shared" si="20"/>
        <v>222311.54439217108</v>
      </c>
      <c r="P77" s="61">
        <f t="shared" si="20"/>
        <v>219166.71897353526</v>
      </c>
      <c r="Q77" s="61">
        <f t="shared" si="20"/>
        <v>212545.28847605744</v>
      </c>
      <c r="R77"/>
    </row>
    <row r="78" spans="1:18" s="55" customFormat="1" hidden="1" outlineLevel="1" x14ac:dyDescent="0.25">
      <c r="B78" s="55" t="s">
        <v>544</v>
      </c>
      <c r="C78" s="17">
        <f>SUM(Biz1bs!D21:Q21)-SUM(D78:Q78)</f>
        <v>0</v>
      </c>
      <c r="D78" s="62">
        <f>Biz1bs!D21</f>
        <v>98208.181215727192</v>
      </c>
      <c r="E78" s="62">
        <f>Biz1bs!E21</f>
        <v>47310.967104551964</v>
      </c>
      <c r="F78" s="62">
        <f>Biz1bs!F21</f>
        <v>44793.421799283147</v>
      </c>
      <c r="G78" s="62">
        <f>Biz1bs!G21</f>
        <v>129474.77569098304</v>
      </c>
      <c r="H78" s="62">
        <f>Biz1bs!H21</f>
        <v>164359.76689077052</v>
      </c>
      <c r="I78" s="62">
        <f>Biz1bs!I21</f>
        <v>144899.34645960038</v>
      </c>
      <c r="J78" s="62">
        <f>Biz1bs!J21</f>
        <v>144899.34645960038</v>
      </c>
      <c r="K78" s="62">
        <f>Biz1bs!K21</f>
        <v>144899.34645960038</v>
      </c>
      <c r="L78" s="62">
        <f>Biz1bs!L21</f>
        <v>144899.34645960038</v>
      </c>
      <c r="M78" s="62">
        <f>Biz1bs!M21</f>
        <v>162545.73948037915</v>
      </c>
      <c r="N78" s="62">
        <f>Biz1bs!N21</f>
        <v>188248.29582647514</v>
      </c>
      <c r="O78" s="62">
        <f>Biz1bs!O21</f>
        <v>194985.95750184212</v>
      </c>
      <c r="P78" s="62">
        <f>Biz1bs!P21</f>
        <v>191515.70085641227</v>
      </c>
      <c r="Q78" s="62">
        <f>Biz1bs!Q21</f>
        <v>185232.54027394921</v>
      </c>
      <c r="R78"/>
    </row>
    <row r="79" spans="1:18" s="55" customFormat="1" hidden="1" outlineLevel="1" x14ac:dyDescent="0.25">
      <c r="B79" s="55" t="s">
        <v>545</v>
      </c>
      <c r="C79" s="17">
        <f>SUM(Biz2bs!D21:Q21)-SUM(D79:Q79)</f>
        <v>0</v>
      </c>
      <c r="D79" s="62">
        <f>Biz2bs!D21</f>
        <v>48395.687219315187</v>
      </c>
      <c r="E79" s="62">
        <f>Biz2bs!E21</f>
        <v>24231.784200410249</v>
      </c>
      <c r="F79" s="62">
        <f>Biz2bs!F21</f>
        <v>19246.754838349319</v>
      </c>
      <c r="G79" s="62">
        <f>Biz2bs!G21</f>
        <v>17972.964970417463</v>
      </c>
      <c r="H79" s="62">
        <f>Biz2bs!H21</f>
        <v>23585.547433599833</v>
      </c>
      <c r="I79" s="62">
        <f>Biz2bs!I21</f>
        <v>23585.547433599833</v>
      </c>
      <c r="J79" s="62">
        <f>Biz2bs!J21</f>
        <v>23585.547433599833</v>
      </c>
      <c r="K79" s="62">
        <f>Biz2bs!K21</f>
        <v>23585.547433599833</v>
      </c>
      <c r="L79" s="62">
        <f>Biz2bs!L21</f>
        <v>23585.547433599833</v>
      </c>
      <c r="M79" s="62">
        <f>Biz2bs!M21</f>
        <v>25991.271285645667</v>
      </c>
      <c r="N79" s="62">
        <f>Biz2bs!N21</f>
        <v>26662.823434638147</v>
      </c>
      <c r="O79" s="62">
        <f>Biz2bs!O21</f>
        <v>27325.586890328956</v>
      </c>
      <c r="P79" s="62">
        <f>Biz2bs!P21</f>
        <v>27651.018117122996</v>
      </c>
      <c r="Q79" s="62">
        <f>Biz2bs!Q21</f>
        <v>27312.748202108214</v>
      </c>
      <c r="R79"/>
    </row>
    <row r="80" spans="1:18" s="55" customFormat="1" hidden="1" outlineLevel="1" x14ac:dyDescent="0.25">
      <c r="B80" s="55" t="s">
        <v>546</v>
      </c>
      <c r="C80" s="17">
        <f>SUM(CORPbs!D21:Q21)-SUM(D80:Q80)</f>
        <v>0</v>
      </c>
      <c r="D80" s="62">
        <f>CORPbs!D21</f>
        <v>0</v>
      </c>
      <c r="E80" s="62">
        <f>CORPbs!E21</f>
        <v>0</v>
      </c>
      <c r="F80" s="62">
        <f>CORPbs!F21</f>
        <v>0</v>
      </c>
      <c r="G80" s="62">
        <f>CORPbs!G21</f>
        <v>0</v>
      </c>
      <c r="H80" s="62">
        <f>CORPbs!H21</f>
        <v>0</v>
      </c>
      <c r="I80" s="62">
        <f>CORPbs!I21</f>
        <v>0</v>
      </c>
      <c r="J80" s="62">
        <f>CORPbs!J21</f>
        <v>0</v>
      </c>
      <c r="K80" s="62">
        <f>CORPbs!K21</f>
        <v>0</v>
      </c>
      <c r="L80" s="62">
        <f>CORPbs!L21</f>
        <v>0</v>
      </c>
      <c r="M80" s="62">
        <f>CORPbs!M21</f>
        <v>0</v>
      </c>
      <c r="N80" s="62">
        <f>CORPbs!N21</f>
        <v>0</v>
      </c>
      <c r="O80" s="62">
        <f>CORPbs!O21</f>
        <v>0</v>
      </c>
      <c r="P80" s="62">
        <f>CORPbs!P21</f>
        <v>0</v>
      </c>
      <c r="Q80" s="62">
        <f>CORPbs!Q21</f>
        <v>0</v>
      </c>
      <c r="R80"/>
    </row>
    <row r="81" spans="2:18" s="63" customFormat="1" hidden="1" outlineLevel="1" x14ac:dyDescent="0.25">
      <c r="C81" s="2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/>
    </row>
    <row r="82" spans="2:18" s="55" customFormat="1" collapsed="1" x14ac:dyDescent="0.25">
      <c r="B82" s="55" t="s">
        <v>40</v>
      </c>
      <c r="C82" s="15">
        <f>SUM(D82:Q82)-SUM(D83:Q85)</f>
        <v>0</v>
      </c>
      <c r="D82" s="60">
        <f t="shared" ref="D82:Q82" si="21">SUM(D83:D85)</f>
        <v>15313</v>
      </c>
      <c r="E82" s="61">
        <f t="shared" si="21"/>
        <v>15313</v>
      </c>
      <c r="F82" s="61">
        <f t="shared" si="21"/>
        <v>0</v>
      </c>
      <c r="G82" s="61">
        <f t="shared" si="21"/>
        <v>0</v>
      </c>
      <c r="H82" s="61">
        <f t="shared" si="21"/>
        <v>0</v>
      </c>
      <c r="I82" s="61">
        <f t="shared" si="21"/>
        <v>0</v>
      </c>
      <c r="J82" s="61">
        <f t="shared" si="21"/>
        <v>0</v>
      </c>
      <c r="K82" s="61">
        <f t="shared" si="21"/>
        <v>0</v>
      </c>
      <c r="L82" s="61">
        <f t="shared" si="21"/>
        <v>0</v>
      </c>
      <c r="M82" s="61">
        <f t="shared" si="21"/>
        <v>0</v>
      </c>
      <c r="N82" s="61">
        <f t="shared" si="21"/>
        <v>0</v>
      </c>
      <c r="O82" s="61">
        <f t="shared" si="21"/>
        <v>0</v>
      </c>
      <c r="P82" s="61">
        <f t="shared" si="21"/>
        <v>0</v>
      </c>
      <c r="Q82" s="61">
        <f t="shared" si="21"/>
        <v>0</v>
      </c>
      <c r="R82"/>
    </row>
    <row r="83" spans="2:18" s="55" customFormat="1" hidden="1" outlineLevel="1" x14ac:dyDescent="0.25">
      <c r="B83" s="55" t="s">
        <v>544</v>
      </c>
      <c r="C83" s="17">
        <f>SUM(Biz1bs!D22:Q22)-SUM(D83:Q83)</f>
        <v>0</v>
      </c>
      <c r="D83" s="62">
        <f>Biz1bs!D22</f>
        <v>0</v>
      </c>
      <c r="E83" s="62">
        <f>Biz1bs!E22</f>
        <v>0</v>
      </c>
      <c r="F83" s="62">
        <f>Biz1bs!F22</f>
        <v>0</v>
      </c>
      <c r="G83" s="62">
        <f>Biz1bs!G22</f>
        <v>0</v>
      </c>
      <c r="H83" s="62">
        <f>Biz1bs!H22</f>
        <v>0</v>
      </c>
      <c r="I83" s="62">
        <f>Biz1bs!I22</f>
        <v>0</v>
      </c>
      <c r="J83" s="62">
        <f>Biz1bs!J22</f>
        <v>0</v>
      </c>
      <c r="K83" s="62">
        <f>Biz1bs!K22</f>
        <v>0</v>
      </c>
      <c r="L83" s="62">
        <f>Biz1bs!L22</f>
        <v>0</v>
      </c>
      <c r="M83" s="62">
        <f>Biz1bs!M22</f>
        <v>0</v>
      </c>
      <c r="N83" s="62">
        <f>Biz1bs!N22</f>
        <v>0</v>
      </c>
      <c r="O83" s="62">
        <f>Biz1bs!O22</f>
        <v>0</v>
      </c>
      <c r="P83" s="62">
        <f>Biz1bs!P22</f>
        <v>0</v>
      </c>
      <c r="Q83" s="62">
        <f>Biz1bs!Q22</f>
        <v>0</v>
      </c>
      <c r="R83"/>
    </row>
    <row r="84" spans="2:18" s="55" customFormat="1" hidden="1" outlineLevel="1" x14ac:dyDescent="0.25">
      <c r="B84" s="55" t="s">
        <v>545</v>
      </c>
      <c r="C84" s="17">
        <f>SUM(Biz2bs!D22:Q22)-SUM(D84:Q84)</f>
        <v>0</v>
      </c>
      <c r="D84" s="62">
        <f>Biz2bs!D22</f>
        <v>0</v>
      </c>
      <c r="E84" s="62">
        <f>Biz2bs!E22</f>
        <v>0</v>
      </c>
      <c r="F84" s="62">
        <f>Biz2bs!F22</f>
        <v>0</v>
      </c>
      <c r="G84" s="62">
        <f>Biz2bs!G22</f>
        <v>0</v>
      </c>
      <c r="H84" s="62">
        <f>Biz2bs!H22</f>
        <v>0</v>
      </c>
      <c r="I84" s="62">
        <f>Biz2bs!I22</f>
        <v>0</v>
      </c>
      <c r="J84" s="62">
        <f>Biz2bs!J22</f>
        <v>0</v>
      </c>
      <c r="K84" s="62">
        <f>Biz2bs!K22</f>
        <v>0</v>
      </c>
      <c r="L84" s="62">
        <f>Biz2bs!L22</f>
        <v>0</v>
      </c>
      <c r="M84" s="62">
        <f>Biz2bs!M22</f>
        <v>0</v>
      </c>
      <c r="N84" s="62">
        <f>Biz2bs!N22</f>
        <v>0</v>
      </c>
      <c r="O84" s="62">
        <f>Biz2bs!O22</f>
        <v>0</v>
      </c>
      <c r="P84" s="62">
        <f>Biz2bs!P22</f>
        <v>0</v>
      </c>
      <c r="Q84" s="62">
        <f>Biz2bs!Q22</f>
        <v>0</v>
      </c>
      <c r="R84"/>
    </row>
    <row r="85" spans="2:18" s="55" customFormat="1" hidden="1" outlineLevel="1" x14ac:dyDescent="0.25">
      <c r="B85" s="55" t="s">
        <v>546</v>
      </c>
      <c r="C85" s="17">
        <f>SUM(CORPbs!D22:Q22)-SUM(D85:Q85)</f>
        <v>0</v>
      </c>
      <c r="D85" s="62">
        <f>CORPbs!D22</f>
        <v>15313</v>
      </c>
      <c r="E85" s="62">
        <f>CORPbs!E22</f>
        <v>15313</v>
      </c>
      <c r="F85" s="62">
        <f>CORPbs!F22</f>
        <v>0</v>
      </c>
      <c r="G85" s="62">
        <f>CORPbs!G22</f>
        <v>0</v>
      </c>
      <c r="H85" s="62">
        <f>CORPbs!H22</f>
        <v>0</v>
      </c>
      <c r="I85" s="62">
        <f>CORPbs!I22</f>
        <v>0</v>
      </c>
      <c r="J85" s="62">
        <f>CORPbs!J22</f>
        <v>0</v>
      </c>
      <c r="K85" s="62">
        <f>CORPbs!K22</f>
        <v>0</v>
      </c>
      <c r="L85" s="62">
        <f>CORPbs!L22</f>
        <v>0</v>
      </c>
      <c r="M85" s="62">
        <f>CORPbs!M22</f>
        <v>0</v>
      </c>
      <c r="N85" s="62">
        <f>CORPbs!N22</f>
        <v>0</v>
      </c>
      <c r="O85" s="62">
        <f>CORPbs!O22</f>
        <v>0</v>
      </c>
      <c r="P85" s="62">
        <f>CORPbs!P22</f>
        <v>0</v>
      </c>
      <c r="Q85" s="62">
        <f>CORPbs!Q22</f>
        <v>0</v>
      </c>
      <c r="R85"/>
    </row>
    <row r="86" spans="2:18" s="63" customFormat="1" hidden="1" outlineLevel="1" x14ac:dyDescent="0.25">
      <c r="C86" s="2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/>
    </row>
    <row r="87" spans="2:18" s="55" customFormat="1" collapsed="1" x14ac:dyDescent="0.25">
      <c r="B87" s="55" t="s">
        <v>41</v>
      </c>
      <c r="C87" s="15">
        <f>SUM(D87:Q87)-SUM(D88:Q90)</f>
        <v>0</v>
      </c>
      <c r="D87" s="60">
        <f t="shared" ref="D87:Q87" si="22">SUM(D88:D90)</f>
        <v>17628</v>
      </c>
      <c r="E87" s="61">
        <f t="shared" si="22"/>
        <v>15400</v>
      </c>
      <c r="F87" s="61">
        <f t="shared" si="22"/>
        <v>9101.6</v>
      </c>
      <c r="G87" s="61">
        <f t="shared" si="22"/>
        <v>7409.7999999999993</v>
      </c>
      <c r="H87" s="61">
        <f t="shared" si="22"/>
        <v>6285.9583428195238</v>
      </c>
      <c r="I87" s="61">
        <f t="shared" si="22"/>
        <v>6285.9583428195238</v>
      </c>
      <c r="J87" s="61">
        <f t="shared" si="22"/>
        <v>6285.9583428195238</v>
      </c>
      <c r="K87" s="61">
        <f t="shared" si="22"/>
        <v>6285.9583428195238</v>
      </c>
      <c r="L87" s="61">
        <f t="shared" si="22"/>
        <v>6285.9583428195238</v>
      </c>
      <c r="M87" s="61">
        <f t="shared" si="22"/>
        <v>7015.2909984099051</v>
      </c>
      <c r="N87" s="61">
        <f t="shared" si="22"/>
        <v>8061.3429793836731</v>
      </c>
      <c r="O87" s="61">
        <f t="shared" si="22"/>
        <v>8608.2559904239806</v>
      </c>
      <c r="P87" s="61">
        <f t="shared" si="22"/>
        <v>8608.2559904239806</v>
      </c>
      <c r="Q87" s="61">
        <f t="shared" si="22"/>
        <v>8608.2559904239806</v>
      </c>
      <c r="R87"/>
    </row>
    <row r="88" spans="2:18" s="55" customFormat="1" hidden="1" outlineLevel="1" x14ac:dyDescent="0.25">
      <c r="B88" s="55" t="s">
        <v>544</v>
      </c>
      <c r="C88" s="17">
        <f>SUM(Biz1bs!D23:Q23)-SUM(D88:Q88)</f>
        <v>0</v>
      </c>
      <c r="D88" s="62">
        <f>Biz1bs!D23</f>
        <v>4407</v>
      </c>
      <c r="E88" s="62">
        <f>Biz1bs!E23</f>
        <v>3850</v>
      </c>
      <c r="F88" s="62">
        <f>Biz1bs!F23</f>
        <v>2275.4</v>
      </c>
      <c r="G88" s="62">
        <f>Biz1bs!G23</f>
        <v>1852.45</v>
      </c>
      <c r="H88" s="62">
        <f>Biz1bs!H23</f>
        <v>1571.4895857048812</v>
      </c>
      <c r="I88" s="62">
        <f>Biz1bs!I23</f>
        <v>1571.4895857048812</v>
      </c>
      <c r="J88" s="62">
        <f>Biz1bs!J23</f>
        <v>1571.4895857048812</v>
      </c>
      <c r="K88" s="62">
        <f>Biz1bs!K23</f>
        <v>1571.4895857048812</v>
      </c>
      <c r="L88" s="62">
        <f>Biz1bs!L23</f>
        <v>1571.4895857048812</v>
      </c>
      <c r="M88" s="62">
        <f>Biz1bs!M23</f>
        <v>1753.8227496024765</v>
      </c>
      <c r="N88" s="62">
        <f>Biz1bs!N23</f>
        <v>2015.3357448459185</v>
      </c>
      <c r="O88" s="62">
        <f>Biz1bs!O23</f>
        <v>2152.0639976059952</v>
      </c>
      <c r="P88" s="62">
        <f>Biz1bs!P23</f>
        <v>2152.0639976059952</v>
      </c>
      <c r="Q88" s="62">
        <f>Biz1bs!Q23</f>
        <v>2152.0639976059952</v>
      </c>
      <c r="R88"/>
    </row>
    <row r="89" spans="2:18" s="55" customFormat="1" hidden="1" outlineLevel="1" x14ac:dyDescent="0.25">
      <c r="B89" s="55" t="s">
        <v>545</v>
      </c>
      <c r="C89" s="17">
        <f>SUM(Biz2bs!D23:Q23)-SUM(D89:Q89)</f>
        <v>0</v>
      </c>
      <c r="D89" s="62">
        <f>Biz2bs!D23</f>
        <v>6610.5</v>
      </c>
      <c r="E89" s="62">
        <f>Biz2bs!E23</f>
        <v>5775</v>
      </c>
      <c r="F89" s="62">
        <f>Biz2bs!F23</f>
        <v>3413.1</v>
      </c>
      <c r="G89" s="62">
        <f>Biz2bs!G23</f>
        <v>2778.6749999999997</v>
      </c>
      <c r="H89" s="62">
        <f>Biz2bs!H23</f>
        <v>2357.2343785573216</v>
      </c>
      <c r="I89" s="62">
        <f>Biz2bs!I23</f>
        <v>2357.2343785573216</v>
      </c>
      <c r="J89" s="62">
        <f>Biz2bs!J23</f>
        <v>2357.2343785573216</v>
      </c>
      <c r="K89" s="62">
        <f>Biz2bs!K23</f>
        <v>2357.2343785573216</v>
      </c>
      <c r="L89" s="62">
        <f>Biz2bs!L23</f>
        <v>2357.2343785573216</v>
      </c>
      <c r="M89" s="62">
        <f>Biz2bs!M23</f>
        <v>2630.7341244037143</v>
      </c>
      <c r="N89" s="62">
        <f>Biz2bs!N23</f>
        <v>3023.0036172688774</v>
      </c>
      <c r="O89" s="62">
        <f>Biz2bs!O23</f>
        <v>3228.095996408993</v>
      </c>
      <c r="P89" s="62">
        <f>Biz2bs!P23</f>
        <v>3228.095996408993</v>
      </c>
      <c r="Q89" s="62">
        <f>Biz2bs!Q23</f>
        <v>3228.095996408993</v>
      </c>
      <c r="R89"/>
    </row>
    <row r="90" spans="2:18" s="55" customFormat="1" hidden="1" outlineLevel="1" x14ac:dyDescent="0.25">
      <c r="B90" s="55" t="s">
        <v>546</v>
      </c>
      <c r="C90" s="17">
        <f>SUM(CORPbs!D23:Q23)-SUM(D90:Q90)</f>
        <v>0</v>
      </c>
      <c r="D90" s="62">
        <f>CORPbs!D23</f>
        <v>6610.5</v>
      </c>
      <c r="E90" s="62">
        <f>CORPbs!E23</f>
        <v>5775</v>
      </c>
      <c r="F90" s="62">
        <f>CORPbs!F23</f>
        <v>3413.1</v>
      </c>
      <c r="G90" s="62">
        <f>CORPbs!G23</f>
        <v>2778.6749999999997</v>
      </c>
      <c r="H90" s="62">
        <f>CORPbs!H23</f>
        <v>2357.2343785573216</v>
      </c>
      <c r="I90" s="62">
        <f>CORPbs!I23</f>
        <v>2357.2343785573216</v>
      </c>
      <c r="J90" s="62">
        <f>CORPbs!J23</f>
        <v>2357.2343785573216</v>
      </c>
      <c r="K90" s="62">
        <f>CORPbs!K23</f>
        <v>2357.2343785573216</v>
      </c>
      <c r="L90" s="62">
        <f>CORPbs!L23</f>
        <v>2357.2343785573216</v>
      </c>
      <c r="M90" s="62">
        <f>CORPbs!M23</f>
        <v>2630.7341244037143</v>
      </c>
      <c r="N90" s="62">
        <f>CORPbs!N23</f>
        <v>3023.0036172688774</v>
      </c>
      <c r="O90" s="62">
        <f>CORPbs!O23</f>
        <v>3228.095996408993</v>
      </c>
      <c r="P90" s="62">
        <f>CORPbs!P23</f>
        <v>3228.095996408993</v>
      </c>
      <c r="Q90" s="62">
        <f>CORPbs!Q23</f>
        <v>3228.095996408993</v>
      </c>
      <c r="R90"/>
    </row>
    <row r="91" spans="2:18" s="63" customFormat="1" hidden="1" outlineLevel="1" x14ac:dyDescent="0.25">
      <c r="C91" s="2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/>
    </row>
    <row r="92" spans="2:18" s="55" customFormat="1" collapsed="1" x14ac:dyDescent="0.25">
      <c r="B92" s="55" t="s">
        <v>42</v>
      </c>
      <c r="C92" s="15">
        <f>SUM(D92:Q92)-SUM(D93:Q95)</f>
        <v>0</v>
      </c>
      <c r="D92" s="60">
        <f t="shared" ref="D92:Q92" si="23">SUM(D93:D95)</f>
        <v>0</v>
      </c>
      <c r="E92" s="61">
        <f t="shared" si="23"/>
        <v>0</v>
      </c>
      <c r="F92" s="61">
        <f t="shared" si="23"/>
        <v>0</v>
      </c>
      <c r="G92" s="61">
        <f t="shared" si="23"/>
        <v>0</v>
      </c>
      <c r="H92" s="61">
        <f t="shared" si="23"/>
        <v>0</v>
      </c>
      <c r="I92" s="61">
        <f t="shared" si="23"/>
        <v>0</v>
      </c>
      <c r="J92" s="61">
        <f t="shared" si="23"/>
        <v>0</v>
      </c>
      <c r="K92" s="61">
        <f t="shared" si="23"/>
        <v>0</v>
      </c>
      <c r="L92" s="61">
        <f t="shared" si="23"/>
        <v>0</v>
      </c>
      <c r="M92" s="61">
        <f t="shared" si="23"/>
        <v>0</v>
      </c>
      <c r="N92" s="61">
        <f t="shared" si="23"/>
        <v>0</v>
      </c>
      <c r="O92" s="61">
        <f t="shared" si="23"/>
        <v>0</v>
      </c>
      <c r="P92" s="61">
        <f t="shared" si="23"/>
        <v>0</v>
      </c>
      <c r="Q92" s="61">
        <f t="shared" si="23"/>
        <v>0</v>
      </c>
      <c r="R92"/>
    </row>
    <row r="93" spans="2:18" s="55" customFormat="1" hidden="1" outlineLevel="1" x14ac:dyDescent="0.25">
      <c r="B93" s="55" t="s">
        <v>544</v>
      </c>
      <c r="C93" s="17">
        <f>SUM(Biz1bs!D24:Q24)-SUM(D93:Q93)</f>
        <v>0</v>
      </c>
      <c r="D93" s="62">
        <f>Biz1bs!D24</f>
        <v>0</v>
      </c>
      <c r="E93" s="62">
        <f>Biz1bs!E24</f>
        <v>0</v>
      </c>
      <c r="F93" s="62">
        <f>Biz1bs!F24</f>
        <v>0</v>
      </c>
      <c r="G93" s="62">
        <f>Biz1bs!G24</f>
        <v>0</v>
      </c>
      <c r="H93" s="62">
        <f>Biz1bs!H24</f>
        <v>0</v>
      </c>
      <c r="I93" s="62">
        <f>Biz1bs!I24</f>
        <v>0</v>
      </c>
      <c r="J93" s="62">
        <f>Biz1bs!J24</f>
        <v>0</v>
      </c>
      <c r="K93" s="62">
        <f>Biz1bs!K24</f>
        <v>0</v>
      </c>
      <c r="L93" s="62">
        <f>Biz1bs!L24</f>
        <v>0</v>
      </c>
      <c r="M93" s="62">
        <f>Biz1bs!M24</f>
        <v>0</v>
      </c>
      <c r="N93" s="62">
        <f>Biz1bs!N24</f>
        <v>0</v>
      </c>
      <c r="O93" s="62">
        <f>Biz1bs!O24</f>
        <v>0</v>
      </c>
      <c r="P93" s="62">
        <f>Biz1bs!P24</f>
        <v>0</v>
      </c>
      <c r="Q93" s="62">
        <f>Biz1bs!Q24</f>
        <v>0</v>
      </c>
      <c r="R93"/>
    </row>
    <row r="94" spans="2:18" s="55" customFormat="1" hidden="1" outlineLevel="1" x14ac:dyDescent="0.25">
      <c r="B94" s="55" t="s">
        <v>545</v>
      </c>
      <c r="C94" s="17">
        <f>SUM(Biz2bs!D24:Q24)-SUM(D94:Q94)</f>
        <v>0</v>
      </c>
      <c r="D94" s="62">
        <f>Biz2bs!D24</f>
        <v>0</v>
      </c>
      <c r="E94" s="62">
        <f>Biz2bs!E24</f>
        <v>0</v>
      </c>
      <c r="F94" s="62">
        <f>Biz2bs!F24</f>
        <v>0</v>
      </c>
      <c r="G94" s="62">
        <f>Biz2bs!G24</f>
        <v>0</v>
      </c>
      <c r="H94" s="62">
        <f>Biz2bs!H24</f>
        <v>0</v>
      </c>
      <c r="I94" s="62">
        <f>Biz2bs!I24</f>
        <v>0</v>
      </c>
      <c r="J94" s="62">
        <f>Biz2bs!J24</f>
        <v>0</v>
      </c>
      <c r="K94" s="62">
        <f>Biz2bs!K24</f>
        <v>0</v>
      </c>
      <c r="L94" s="62">
        <f>Biz2bs!L24</f>
        <v>0</v>
      </c>
      <c r="M94" s="62">
        <f>Biz2bs!M24</f>
        <v>0</v>
      </c>
      <c r="N94" s="62">
        <f>Biz2bs!N24</f>
        <v>0</v>
      </c>
      <c r="O94" s="62">
        <f>Biz2bs!O24</f>
        <v>0</v>
      </c>
      <c r="P94" s="62">
        <f>Biz2bs!P24</f>
        <v>0</v>
      </c>
      <c r="Q94" s="62">
        <f>Biz2bs!Q24</f>
        <v>0</v>
      </c>
      <c r="R94"/>
    </row>
    <row r="95" spans="2:18" s="55" customFormat="1" hidden="1" outlineLevel="1" x14ac:dyDescent="0.25">
      <c r="B95" s="55" t="s">
        <v>546</v>
      </c>
      <c r="C95" s="17">
        <f>SUM(CORPbs!D24:Q24)-SUM(D95:Q95)</f>
        <v>0</v>
      </c>
      <c r="D95" s="62">
        <f>CORPbs!D24</f>
        <v>0</v>
      </c>
      <c r="E95" s="62">
        <f>CORPbs!E24</f>
        <v>0</v>
      </c>
      <c r="F95" s="62">
        <f>CORPbs!F24</f>
        <v>0</v>
      </c>
      <c r="G95" s="62">
        <f>CORPbs!G24</f>
        <v>0</v>
      </c>
      <c r="H95" s="62">
        <f>CORPbs!H24</f>
        <v>0</v>
      </c>
      <c r="I95" s="62">
        <f>CORPbs!I24</f>
        <v>0</v>
      </c>
      <c r="J95" s="62">
        <f>CORPbs!J24</f>
        <v>0</v>
      </c>
      <c r="K95" s="62">
        <f>CORPbs!K24</f>
        <v>0</v>
      </c>
      <c r="L95" s="62">
        <f>CORPbs!L24</f>
        <v>0</v>
      </c>
      <c r="M95" s="62">
        <f>CORPbs!M24</f>
        <v>0</v>
      </c>
      <c r="N95" s="62">
        <f>CORPbs!N24</f>
        <v>0</v>
      </c>
      <c r="O95" s="62">
        <f>CORPbs!O24</f>
        <v>0</v>
      </c>
      <c r="P95" s="62">
        <f>CORPbs!P24</f>
        <v>0</v>
      </c>
      <c r="Q95" s="62">
        <f>CORPbs!Q24</f>
        <v>0</v>
      </c>
      <c r="R95"/>
    </row>
    <row r="96" spans="2:18" s="45" customFormat="1" hidden="1" outlineLevel="1" x14ac:dyDescent="0.25">
      <c r="C96" s="2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/>
    </row>
    <row r="97" spans="1:18" s="55" customFormat="1" collapsed="1" x14ac:dyDescent="0.25">
      <c r="B97" s="55" t="s">
        <v>43</v>
      </c>
      <c r="C97" s="15">
        <f>SUM(D97:Q97)-SUM(D98:Q100)</f>
        <v>0</v>
      </c>
      <c r="D97" s="60">
        <f t="shared" ref="D97:Q97" si="24">SUM(D98:D100)</f>
        <v>306750</v>
      </c>
      <c r="E97" s="61">
        <f t="shared" si="24"/>
        <v>306750</v>
      </c>
      <c r="F97" s="61">
        <f t="shared" si="24"/>
        <v>308166</v>
      </c>
      <c r="G97" s="61">
        <f t="shared" si="24"/>
        <v>307762</v>
      </c>
      <c r="H97" s="61">
        <f t="shared" si="24"/>
        <v>235608</v>
      </c>
      <c r="I97" s="61">
        <f t="shared" si="24"/>
        <v>235608</v>
      </c>
      <c r="J97" s="61">
        <f t="shared" si="24"/>
        <v>235608</v>
      </c>
      <c r="K97" s="61">
        <f t="shared" si="24"/>
        <v>235608</v>
      </c>
      <c r="L97" s="61">
        <f t="shared" si="24"/>
        <v>235608</v>
      </c>
      <c r="M97" s="61">
        <f t="shared" si="24"/>
        <v>235204</v>
      </c>
      <c r="N97" s="61">
        <f t="shared" si="24"/>
        <v>234999.663</v>
      </c>
      <c r="O97" s="61">
        <f t="shared" si="24"/>
        <v>234999.663</v>
      </c>
      <c r="P97" s="61">
        <f t="shared" si="24"/>
        <v>235000</v>
      </c>
      <c r="Q97" s="61">
        <f t="shared" si="24"/>
        <v>235000</v>
      </c>
      <c r="R97"/>
    </row>
    <row r="98" spans="1:18" s="55" customFormat="1" hidden="1" outlineLevel="1" x14ac:dyDescent="0.25">
      <c r="B98" s="55" t="s">
        <v>544</v>
      </c>
      <c r="C98" s="17">
        <f>SUM(Biz1bs!D25:Q25)-SUM(D98:Q98)</f>
        <v>0</v>
      </c>
      <c r="D98" s="62">
        <f>Biz1bs!D25</f>
        <v>0</v>
      </c>
      <c r="E98" s="62">
        <f>Biz1bs!E25</f>
        <v>0</v>
      </c>
      <c r="F98" s="62">
        <f>Biz1bs!F25</f>
        <v>1416</v>
      </c>
      <c r="G98" s="62">
        <f>Biz1bs!G25</f>
        <v>1012</v>
      </c>
      <c r="H98" s="62">
        <f>Biz1bs!H25</f>
        <v>608</v>
      </c>
      <c r="I98" s="62">
        <f>Biz1bs!I25</f>
        <v>608</v>
      </c>
      <c r="J98" s="62">
        <f>Biz1bs!J25</f>
        <v>608</v>
      </c>
      <c r="K98" s="62">
        <f>Biz1bs!K25</f>
        <v>608</v>
      </c>
      <c r="L98" s="62">
        <f>Biz1bs!L25</f>
        <v>608</v>
      </c>
      <c r="M98" s="62">
        <f>Biz1bs!M25</f>
        <v>204</v>
      </c>
      <c r="N98" s="62">
        <f>Biz1bs!N25</f>
        <v>-0.33699999999998909</v>
      </c>
      <c r="O98" s="62">
        <f>Biz1bs!O25</f>
        <v>-0.33699999999998909</v>
      </c>
      <c r="P98" s="62">
        <f>Biz1bs!P25</f>
        <v>0</v>
      </c>
      <c r="Q98" s="62">
        <f>Biz1bs!Q25</f>
        <v>0</v>
      </c>
      <c r="R98"/>
    </row>
    <row r="99" spans="1:18" s="55" customFormat="1" hidden="1" outlineLevel="1" x14ac:dyDescent="0.25">
      <c r="B99" s="55" t="s">
        <v>545</v>
      </c>
      <c r="C99" s="17">
        <f>SUM(Biz2bs!D25:Q25)-SUM(D99:Q99)</f>
        <v>0</v>
      </c>
      <c r="D99" s="62">
        <f>Biz2bs!D25</f>
        <v>0</v>
      </c>
      <c r="E99" s="62">
        <f>Biz2bs!E25</f>
        <v>0</v>
      </c>
      <c r="F99" s="62">
        <f>Biz2bs!F25</f>
        <v>0</v>
      </c>
      <c r="G99" s="62">
        <f>Biz2bs!G25</f>
        <v>0</v>
      </c>
      <c r="H99" s="62">
        <f>Biz2bs!H25</f>
        <v>0</v>
      </c>
      <c r="I99" s="62">
        <f>Biz2bs!I25</f>
        <v>0</v>
      </c>
      <c r="J99" s="62">
        <f>Biz2bs!J25</f>
        <v>0</v>
      </c>
      <c r="K99" s="62">
        <f>Biz2bs!K25</f>
        <v>0</v>
      </c>
      <c r="L99" s="62">
        <f>Biz2bs!L25</f>
        <v>0</v>
      </c>
      <c r="M99" s="62">
        <f>Biz2bs!M25</f>
        <v>0</v>
      </c>
      <c r="N99" s="62">
        <f>Biz2bs!N25</f>
        <v>0</v>
      </c>
      <c r="O99" s="62">
        <f>Biz2bs!O25</f>
        <v>0</v>
      </c>
      <c r="P99" s="62">
        <f>Biz2bs!P25</f>
        <v>0</v>
      </c>
      <c r="Q99" s="62">
        <f>Biz2bs!Q25</f>
        <v>0</v>
      </c>
      <c r="R99"/>
    </row>
    <row r="100" spans="1:18" s="55" customFormat="1" hidden="1" outlineLevel="1" x14ac:dyDescent="0.25">
      <c r="B100" s="55" t="s">
        <v>546</v>
      </c>
      <c r="C100" s="17">
        <f>SUM(CORPbs!D25:Q25)-SUM(D100:Q100)</f>
        <v>0</v>
      </c>
      <c r="D100" s="62">
        <f>CORPbs!D25</f>
        <v>306750</v>
      </c>
      <c r="E100" s="62">
        <f>CORPbs!E25</f>
        <v>306750</v>
      </c>
      <c r="F100" s="62">
        <f>CORPbs!F25</f>
        <v>306750</v>
      </c>
      <c r="G100" s="62">
        <f>CORPbs!G25</f>
        <v>306750</v>
      </c>
      <c r="H100" s="62">
        <f>CORPbs!H25</f>
        <v>235000</v>
      </c>
      <c r="I100" s="62">
        <f>CORPbs!I25</f>
        <v>235000</v>
      </c>
      <c r="J100" s="62">
        <f>CORPbs!J25</f>
        <v>235000</v>
      </c>
      <c r="K100" s="62">
        <f>CORPbs!K25</f>
        <v>235000</v>
      </c>
      <c r="L100" s="62">
        <f>CORPbs!L25</f>
        <v>235000</v>
      </c>
      <c r="M100" s="62">
        <f>CORPbs!M25</f>
        <v>235000</v>
      </c>
      <c r="N100" s="62">
        <f>CORPbs!N25</f>
        <v>235000</v>
      </c>
      <c r="O100" s="62">
        <f>CORPbs!O25</f>
        <v>235000</v>
      </c>
      <c r="P100" s="62">
        <f>CORPbs!P25</f>
        <v>235000</v>
      </c>
      <c r="Q100" s="62">
        <f>CORPbs!Q25</f>
        <v>235000</v>
      </c>
      <c r="R100"/>
    </row>
    <row r="101" spans="1:18" s="45" customFormat="1" hidden="1" outlineLevel="1" x14ac:dyDescent="0.25">
      <c r="C101" s="2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/>
    </row>
    <row r="102" spans="1:18" s="55" customFormat="1" collapsed="1" x14ac:dyDescent="0.25">
      <c r="B102" s="65" t="s">
        <v>44</v>
      </c>
      <c r="C102" s="15">
        <f>SUM(D102:Q102)-SUM(D103:Q105)</f>
        <v>0</v>
      </c>
      <c r="D102" s="60">
        <f t="shared" ref="D102:Q102" si="25">SUM(D103:D105)</f>
        <v>0</v>
      </c>
      <c r="E102" s="61">
        <f t="shared" si="25"/>
        <v>0</v>
      </c>
      <c r="F102" s="61">
        <f t="shared" si="25"/>
        <v>0</v>
      </c>
      <c r="G102" s="61">
        <f t="shared" si="25"/>
        <v>0</v>
      </c>
      <c r="H102" s="61">
        <f t="shared" si="25"/>
        <v>0</v>
      </c>
      <c r="I102" s="61">
        <f t="shared" si="25"/>
        <v>0</v>
      </c>
      <c r="J102" s="61">
        <f t="shared" si="25"/>
        <v>0</v>
      </c>
      <c r="K102" s="61">
        <f t="shared" si="25"/>
        <v>0</v>
      </c>
      <c r="L102" s="61">
        <f t="shared" si="25"/>
        <v>0</v>
      </c>
      <c r="M102" s="61">
        <f t="shared" si="25"/>
        <v>0</v>
      </c>
      <c r="N102" s="61">
        <f t="shared" si="25"/>
        <v>0</v>
      </c>
      <c r="O102" s="61">
        <f t="shared" si="25"/>
        <v>0</v>
      </c>
      <c r="P102" s="61">
        <f t="shared" si="25"/>
        <v>0</v>
      </c>
      <c r="Q102" s="61">
        <f t="shared" si="25"/>
        <v>0</v>
      </c>
      <c r="R102"/>
    </row>
    <row r="103" spans="1:18" s="55" customFormat="1" hidden="1" outlineLevel="1" x14ac:dyDescent="0.25">
      <c r="B103" s="55" t="s">
        <v>544</v>
      </c>
      <c r="C103" s="17">
        <f>SUM(Biz1bs!D26:Q26)-SUM(D103:Q103)</f>
        <v>0</v>
      </c>
      <c r="D103" s="62">
        <f>Biz1bs!D26</f>
        <v>0</v>
      </c>
      <c r="E103" s="62">
        <f>Biz1bs!E26</f>
        <v>0</v>
      </c>
      <c r="F103" s="62">
        <f>Biz1bs!F26</f>
        <v>0</v>
      </c>
      <c r="G103" s="62">
        <f>Biz1bs!G26</f>
        <v>0</v>
      </c>
      <c r="H103" s="62">
        <f>Biz1bs!H26</f>
        <v>0</v>
      </c>
      <c r="I103" s="62">
        <f>Biz1bs!I26</f>
        <v>0</v>
      </c>
      <c r="J103" s="62">
        <f>Biz1bs!J26</f>
        <v>0</v>
      </c>
      <c r="K103" s="62">
        <f>Biz1bs!K26</f>
        <v>0</v>
      </c>
      <c r="L103" s="62">
        <f>Biz1bs!L26</f>
        <v>0</v>
      </c>
      <c r="M103" s="62">
        <f>Biz1bs!M26</f>
        <v>0</v>
      </c>
      <c r="N103" s="62">
        <f>Biz1bs!N26</f>
        <v>0</v>
      </c>
      <c r="O103" s="62">
        <f>Biz1bs!O26</f>
        <v>0</v>
      </c>
      <c r="P103" s="62">
        <f>Biz1bs!P26</f>
        <v>0</v>
      </c>
      <c r="Q103" s="62">
        <f>Biz1bs!Q26</f>
        <v>0</v>
      </c>
      <c r="R103"/>
    </row>
    <row r="104" spans="1:18" s="55" customFormat="1" hidden="1" outlineLevel="1" x14ac:dyDescent="0.25">
      <c r="B104" s="55" t="s">
        <v>545</v>
      </c>
      <c r="C104" s="17">
        <f>SUM(Biz2bs!D26:Q26)-SUM(D104:Q104)</f>
        <v>0</v>
      </c>
      <c r="D104" s="62">
        <f>Biz2bs!D26</f>
        <v>0</v>
      </c>
      <c r="E104" s="62">
        <f>Biz2bs!E26</f>
        <v>0</v>
      </c>
      <c r="F104" s="62">
        <f>Biz2bs!F26</f>
        <v>0</v>
      </c>
      <c r="G104" s="62">
        <f>Biz2bs!G26</f>
        <v>0</v>
      </c>
      <c r="H104" s="62">
        <f>Biz2bs!H26</f>
        <v>0</v>
      </c>
      <c r="I104" s="62">
        <f>Biz2bs!I26</f>
        <v>0</v>
      </c>
      <c r="J104" s="62">
        <f>Biz2bs!J26</f>
        <v>0</v>
      </c>
      <c r="K104" s="62">
        <f>Biz2bs!K26</f>
        <v>0</v>
      </c>
      <c r="L104" s="62">
        <f>Biz2bs!L26</f>
        <v>0</v>
      </c>
      <c r="M104" s="62">
        <f>Biz2bs!M26</f>
        <v>0</v>
      </c>
      <c r="N104" s="62">
        <f>Biz2bs!N26</f>
        <v>0</v>
      </c>
      <c r="O104" s="62">
        <f>Biz2bs!O26</f>
        <v>0</v>
      </c>
      <c r="P104" s="62">
        <f>Biz2bs!P26</f>
        <v>0</v>
      </c>
      <c r="Q104" s="62">
        <f>Biz2bs!Q26</f>
        <v>0</v>
      </c>
      <c r="R104"/>
    </row>
    <row r="105" spans="1:18" s="55" customFormat="1" hidden="1" outlineLevel="1" x14ac:dyDescent="0.25">
      <c r="B105" s="55" t="s">
        <v>546</v>
      </c>
      <c r="C105" s="17">
        <f>SUM(CORPbs!D26:Q26)-SUM(D105:Q105)</f>
        <v>0</v>
      </c>
      <c r="D105" s="62">
        <f>CORPbs!D26</f>
        <v>0</v>
      </c>
      <c r="E105" s="62">
        <f>CORPbs!E26</f>
        <v>0</v>
      </c>
      <c r="F105" s="62">
        <f>CORPbs!F26</f>
        <v>0</v>
      </c>
      <c r="G105" s="62">
        <f>CORPbs!G26</f>
        <v>0</v>
      </c>
      <c r="H105" s="62">
        <f>CORPbs!H26</f>
        <v>0</v>
      </c>
      <c r="I105" s="62">
        <f>CORPbs!I26</f>
        <v>0</v>
      </c>
      <c r="J105" s="62">
        <f>CORPbs!J26</f>
        <v>0</v>
      </c>
      <c r="K105" s="62">
        <f>CORPbs!K26</f>
        <v>0</v>
      </c>
      <c r="L105" s="62">
        <f>CORPbs!L26</f>
        <v>0</v>
      </c>
      <c r="M105" s="62">
        <f>CORPbs!M26</f>
        <v>0</v>
      </c>
      <c r="N105" s="62">
        <f>CORPbs!N26</f>
        <v>0</v>
      </c>
      <c r="O105" s="62">
        <f>CORPbs!O26</f>
        <v>0</v>
      </c>
      <c r="P105" s="62">
        <f>CORPbs!P26</f>
        <v>0</v>
      </c>
      <c r="Q105" s="62">
        <f>CORPbs!Q26</f>
        <v>0</v>
      </c>
      <c r="R105"/>
    </row>
    <row r="106" spans="1:18" s="45" customFormat="1" hidden="1" outlineLevel="1" x14ac:dyDescent="0.25">
      <c r="C106" s="2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/>
    </row>
    <row r="107" spans="1:18" s="66" customFormat="1" collapsed="1" x14ac:dyDescent="0.25">
      <c r="A107" s="43" t="s">
        <v>45</v>
      </c>
      <c r="C107" s="15">
        <f>SUM(D108:Q110)-SUM(D107:Q107)</f>
        <v>0</v>
      </c>
      <c r="D107" s="67">
        <f t="shared" ref="D107:Q107" si="26">SUM(D108:D110)</f>
        <v>486294.86843504239</v>
      </c>
      <c r="E107" s="67">
        <f t="shared" si="26"/>
        <v>409005.75130496221</v>
      </c>
      <c r="F107" s="67">
        <f t="shared" si="26"/>
        <v>383937.35563763243</v>
      </c>
      <c r="G107" s="67">
        <f t="shared" si="26"/>
        <v>479477.54066140053</v>
      </c>
      <c r="H107" s="67">
        <f t="shared" si="26"/>
        <v>422724.27266718989</v>
      </c>
      <c r="I107" s="67">
        <f t="shared" si="26"/>
        <v>410378.85223601974</v>
      </c>
      <c r="J107" s="67">
        <f t="shared" si="26"/>
        <v>410378.85223601974</v>
      </c>
      <c r="K107" s="67">
        <f t="shared" si="26"/>
        <v>410378.85223601974</v>
      </c>
      <c r="L107" s="67">
        <f t="shared" si="26"/>
        <v>410378.85223601974</v>
      </c>
      <c r="M107" s="67">
        <f t="shared" si="26"/>
        <v>430756.30176443467</v>
      </c>
      <c r="N107" s="67">
        <f t="shared" si="26"/>
        <v>457972.12524049694</v>
      </c>
      <c r="O107" s="67">
        <f t="shared" si="26"/>
        <v>465919.46338259504</v>
      </c>
      <c r="P107" s="67">
        <f t="shared" si="26"/>
        <v>462774.97496395919</v>
      </c>
      <c r="Q107" s="67">
        <f t="shared" si="26"/>
        <v>456153.54446648143</v>
      </c>
      <c r="R107"/>
    </row>
    <row r="108" spans="1:18" s="63" customFormat="1" hidden="1" outlineLevel="1" x14ac:dyDescent="0.25">
      <c r="B108" s="55" t="s">
        <v>544</v>
      </c>
      <c r="C108" s="17">
        <f>SUM(Biz1bs!D27:Q27)-SUM(D108:Q108)</f>
        <v>0</v>
      </c>
      <c r="D108" s="64">
        <f t="shared" ref="D108:Q108" si="27">SUM(D73,D78,D83,D88,D93,D98,D103)</f>
        <v>102615.18121572719</v>
      </c>
      <c r="E108" s="64">
        <f t="shared" si="27"/>
        <v>51160.967104551964</v>
      </c>
      <c r="F108" s="64">
        <f t="shared" si="27"/>
        <v>48484.821799283149</v>
      </c>
      <c r="G108" s="64">
        <f t="shared" si="27"/>
        <v>150589.22569098306</v>
      </c>
      <c r="H108" s="64">
        <f t="shared" si="27"/>
        <v>158289.25647647539</v>
      </c>
      <c r="I108" s="64">
        <f t="shared" si="27"/>
        <v>147078.83604530524</v>
      </c>
      <c r="J108" s="64">
        <f t="shared" si="27"/>
        <v>147078.83604530524</v>
      </c>
      <c r="K108" s="64">
        <f t="shared" si="27"/>
        <v>147078.83604530524</v>
      </c>
      <c r="L108" s="64">
        <f t="shared" si="27"/>
        <v>147078.83604530524</v>
      </c>
      <c r="M108" s="64">
        <f t="shared" si="27"/>
        <v>164503.56222998162</v>
      </c>
      <c r="N108" s="64">
        <f t="shared" si="27"/>
        <v>190263.29457132105</v>
      </c>
      <c r="O108" s="64">
        <f t="shared" si="27"/>
        <v>197137.68449944811</v>
      </c>
      <c r="P108" s="64">
        <f t="shared" si="27"/>
        <v>193667.76485401826</v>
      </c>
      <c r="Q108" s="64">
        <f t="shared" si="27"/>
        <v>187384.6042715552</v>
      </c>
      <c r="R108"/>
    </row>
    <row r="109" spans="1:18" s="63" customFormat="1" hidden="1" outlineLevel="1" x14ac:dyDescent="0.25">
      <c r="B109" s="55" t="s">
        <v>545</v>
      </c>
      <c r="C109" s="17">
        <f>SUM(Biz2bs!D27:Q27)-SUM(D109:Q109)</f>
        <v>0</v>
      </c>
      <c r="D109" s="64">
        <f t="shared" ref="D109:Q109" si="28">SUM(D74,D79,D84,D89,D94,D99,D104)</f>
        <v>55006.187219315187</v>
      </c>
      <c r="E109" s="64">
        <f t="shared" si="28"/>
        <v>30006.784200410249</v>
      </c>
      <c r="F109" s="64">
        <f t="shared" si="28"/>
        <v>25289.43383834932</v>
      </c>
      <c r="G109" s="64">
        <f t="shared" si="28"/>
        <v>19359.639970417462</v>
      </c>
      <c r="H109" s="64">
        <f t="shared" si="28"/>
        <v>27077.781812157154</v>
      </c>
      <c r="I109" s="64">
        <f t="shared" si="28"/>
        <v>25942.781812157154</v>
      </c>
      <c r="J109" s="64">
        <f t="shared" si="28"/>
        <v>25942.781812157154</v>
      </c>
      <c r="K109" s="64">
        <f t="shared" si="28"/>
        <v>25942.781812157154</v>
      </c>
      <c r="L109" s="64">
        <f t="shared" si="28"/>
        <v>25942.781812157154</v>
      </c>
      <c r="M109" s="64">
        <f t="shared" si="28"/>
        <v>28622.00541004938</v>
      </c>
      <c r="N109" s="64">
        <f t="shared" si="28"/>
        <v>29685.827051907025</v>
      </c>
      <c r="O109" s="64">
        <f t="shared" si="28"/>
        <v>30553.682886737948</v>
      </c>
      <c r="P109" s="64">
        <f t="shared" si="28"/>
        <v>30879.114113531989</v>
      </c>
      <c r="Q109" s="64">
        <f t="shared" si="28"/>
        <v>30540.844198517207</v>
      </c>
      <c r="R109"/>
    </row>
    <row r="110" spans="1:18" s="63" customFormat="1" hidden="1" outlineLevel="1" x14ac:dyDescent="0.25">
      <c r="B110" s="55" t="s">
        <v>546</v>
      </c>
      <c r="C110" s="17">
        <f>SUM(CORPbs!D27:Q27)-SUM(D110:Q110)</f>
        <v>0</v>
      </c>
      <c r="D110" s="64">
        <f t="shared" ref="D110:Q110" si="29">SUM(D75,D80,D85,D90,D95,D100,D105)</f>
        <v>328673.5</v>
      </c>
      <c r="E110" s="64">
        <f t="shared" si="29"/>
        <v>327838</v>
      </c>
      <c r="F110" s="64">
        <f t="shared" si="29"/>
        <v>310163.09999999998</v>
      </c>
      <c r="G110" s="64">
        <f t="shared" si="29"/>
        <v>309528.67499999999</v>
      </c>
      <c r="H110" s="64">
        <f t="shared" si="29"/>
        <v>237357.23437855733</v>
      </c>
      <c r="I110" s="64">
        <f t="shared" si="29"/>
        <v>237357.23437855733</v>
      </c>
      <c r="J110" s="64">
        <f t="shared" si="29"/>
        <v>237357.23437855733</v>
      </c>
      <c r="K110" s="64">
        <f t="shared" si="29"/>
        <v>237357.23437855733</v>
      </c>
      <c r="L110" s="64">
        <f t="shared" si="29"/>
        <v>237357.23437855733</v>
      </c>
      <c r="M110" s="64">
        <f t="shared" si="29"/>
        <v>237630.73412440371</v>
      </c>
      <c r="N110" s="64">
        <f t="shared" si="29"/>
        <v>238023.00361726887</v>
      </c>
      <c r="O110" s="64">
        <f t="shared" si="29"/>
        <v>238228.09599640899</v>
      </c>
      <c r="P110" s="64">
        <f t="shared" si="29"/>
        <v>238228.09599640899</v>
      </c>
      <c r="Q110" s="64">
        <f t="shared" si="29"/>
        <v>238228.09599640899</v>
      </c>
      <c r="R110"/>
    </row>
    <row r="111" spans="1:18" hidden="1" outlineLevel="1" x14ac:dyDescent="0.25"/>
    <row r="112" spans="1:18" s="69" customFormat="1" collapsed="1" x14ac:dyDescent="0.25">
      <c r="A112" s="68" t="s">
        <v>46</v>
      </c>
      <c r="C112" s="2"/>
      <c r="D112" s="70"/>
      <c r="E112" s="70"/>
      <c r="F112" s="70"/>
      <c r="G112" s="71"/>
      <c r="H112" s="72"/>
      <c r="I112" s="73"/>
      <c r="J112" s="73"/>
      <c r="K112" s="73"/>
      <c r="L112" s="73"/>
      <c r="M112" s="72"/>
      <c r="N112" s="72"/>
      <c r="O112" s="72"/>
      <c r="P112" s="72"/>
      <c r="Q112" s="72"/>
      <c r="R112"/>
    </row>
    <row r="113" spans="1:18" s="69" customFormat="1" x14ac:dyDescent="0.25">
      <c r="A113" s="74" t="s">
        <v>562</v>
      </c>
      <c r="C113" s="75"/>
      <c r="D113" s="70"/>
      <c r="E113" s="70"/>
      <c r="F113" s="70"/>
      <c r="G113" s="71"/>
      <c r="H113" s="72"/>
      <c r="I113" s="73"/>
      <c r="J113" s="73"/>
      <c r="K113" s="73"/>
      <c r="L113" s="73"/>
      <c r="M113" s="72"/>
      <c r="N113" s="72"/>
      <c r="O113" s="72"/>
      <c r="P113" s="72"/>
      <c r="Q113" s="72"/>
      <c r="R113"/>
    </row>
    <row r="114" spans="1:18" s="69" customFormat="1" x14ac:dyDescent="0.25">
      <c r="B114" s="69" t="s">
        <v>47</v>
      </c>
      <c r="C114" s="76">
        <f>SUM(D114:Q114)-SUM(D115:Q117)</f>
        <v>0</v>
      </c>
      <c r="D114" s="77">
        <f t="shared" ref="D114:Q114" si="30">SUM(D115:D117)</f>
        <v>0</v>
      </c>
      <c r="E114" s="78">
        <f t="shared" si="30"/>
        <v>0</v>
      </c>
      <c r="F114" s="78">
        <f t="shared" si="30"/>
        <v>0</v>
      </c>
      <c r="G114" s="78">
        <f t="shared" si="30"/>
        <v>0</v>
      </c>
      <c r="H114" s="78">
        <f t="shared" si="30"/>
        <v>0</v>
      </c>
      <c r="I114" s="78">
        <f t="shared" si="30"/>
        <v>0</v>
      </c>
      <c r="J114" s="78">
        <f t="shared" si="30"/>
        <v>0</v>
      </c>
      <c r="K114" s="78">
        <f t="shared" si="30"/>
        <v>0</v>
      </c>
      <c r="L114" s="78">
        <f t="shared" si="30"/>
        <v>0</v>
      </c>
      <c r="M114" s="78">
        <f t="shared" si="30"/>
        <v>0</v>
      </c>
      <c r="N114" s="78">
        <f t="shared" si="30"/>
        <v>0</v>
      </c>
      <c r="O114" s="78">
        <f t="shared" si="30"/>
        <v>0</v>
      </c>
      <c r="P114" s="78">
        <f t="shared" si="30"/>
        <v>0</v>
      </c>
      <c r="Q114" s="78">
        <f t="shared" si="30"/>
        <v>0</v>
      </c>
      <c r="R114"/>
    </row>
    <row r="115" spans="1:18" s="69" customFormat="1" hidden="1" outlineLevel="1" x14ac:dyDescent="0.25">
      <c r="B115" s="69" t="s">
        <v>544</v>
      </c>
      <c r="C115" s="79">
        <f>SUM(Biz1bs!D31:Q31)-SUM(D115:Q115)</f>
        <v>0</v>
      </c>
      <c r="D115" s="80">
        <f>Biz1bs!D31</f>
        <v>0</v>
      </c>
      <c r="E115" s="80">
        <f>Biz1bs!E31</f>
        <v>0</v>
      </c>
      <c r="F115" s="80">
        <f>Biz1bs!F31</f>
        <v>0</v>
      </c>
      <c r="G115" s="80">
        <f>Biz1bs!G31</f>
        <v>0</v>
      </c>
      <c r="H115" s="80">
        <f>Biz1bs!H31</f>
        <v>0</v>
      </c>
      <c r="I115" s="80">
        <f>Biz1bs!I31</f>
        <v>0</v>
      </c>
      <c r="J115" s="80">
        <f>Biz1bs!J31</f>
        <v>0</v>
      </c>
      <c r="K115" s="80">
        <f>Biz1bs!K31</f>
        <v>0</v>
      </c>
      <c r="L115" s="80">
        <f>Biz1bs!L31</f>
        <v>0</v>
      </c>
      <c r="M115" s="80">
        <f>Biz1bs!M31</f>
        <v>0</v>
      </c>
      <c r="N115" s="80">
        <f>Biz1bs!N31</f>
        <v>0</v>
      </c>
      <c r="O115" s="80">
        <f>Biz1bs!O31</f>
        <v>0</v>
      </c>
      <c r="P115" s="80">
        <f>Biz1bs!P31</f>
        <v>0</v>
      </c>
      <c r="Q115" s="80">
        <f>Biz1bs!Q31</f>
        <v>0</v>
      </c>
      <c r="R115"/>
    </row>
    <row r="116" spans="1:18" s="69" customFormat="1" hidden="1" outlineLevel="1" x14ac:dyDescent="0.25">
      <c r="B116" s="69" t="s">
        <v>545</v>
      </c>
      <c r="C116" s="79">
        <f>SUM(Biz2bs!D31:Q31)-SUM(D116:Q116)</f>
        <v>0</v>
      </c>
      <c r="D116" s="80">
        <f>Biz2bs!D31</f>
        <v>0</v>
      </c>
      <c r="E116" s="80">
        <f>Biz2bs!E31</f>
        <v>0</v>
      </c>
      <c r="F116" s="80">
        <f>Biz2bs!F31</f>
        <v>0</v>
      </c>
      <c r="G116" s="80">
        <f>Biz2bs!G31</f>
        <v>0</v>
      </c>
      <c r="H116" s="80">
        <f>Biz2bs!H31</f>
        <v>0</v>
      </c>
      <c r="I116" s="80">
        <f>Biz2bs!I31</f>
        <v>0</v>
      </c>
      <c r="J116" s="80">
        <f>Biz2bs!J31</f>
        <v>0</v>
      </c>
      <c r="K116" s="80">
        <f>Biz2bs!K31</f>
        <v>0</v>
      </c>
      <c r="L116" s="80">
        <f>Biz2bs!L31</f>
        <v>0</v>
      </c>
      <c r="M116" s="80">
        <f>Biz2bs!M31</f>
        <v>0</v>
      </c>
      <c r="N116" s="80">
        <f>Biz2bs!N31</f>
        <v>0</v>
      </c>
      <c r="O116" s="80">
        <f>Biz2bs!O31</f>
        <v>0</v>
      </c>
      <c r="P116" s="80">
        <f>Biz2bs!P31</f>
        <v>0</v>
      </c>
      <c r="Q116" s="80">
        <f>Biz2bs!Q31</f>
        <v>0</v>
      </c>
      <c r="R116"/>
    </row>
    <row r="117" spans="1:18" s="69" customFormat="1" hidden="1" outlineLevel="1" x14ac:dyDescent="0.25">
      <c r="B117" s="69" t="s">
        <v>546</v>
      </c>
      <c r="C117" s="79">
        <f>SUM(CORPbs!D31:Q31)-SUM(D117:Q117)</f>
        <v>0</v>
      </c>
      <c r="D117" s="80">
        <f>CORPbs!D31</f>
        <v>0</v>
      </c>
      <c r="E117" s="80">
        <f>CORPbs!E31</f>
        <v>0</v>
      </c>
      <c r="F117" s="80">
        <f>CORPbs!F31</f>
        <v>0</v>
      </c>
      <c r="G117" s="80">
        <f>CORPbs!G31</f>
        <v>0</v>
      </c>
      <c r="H117" s="80">
        <f>CORPbs!H31</f>
        <v>0</v>
      </c>
      <c r="I117" s="80">
        <f>CORPbs!I31</f>
        <v>0</v>
      </c>
      <c r="J117" s="80">
        <f>CORPbs!J31</f>
        <v>0</v>
      </c>
      <c r="K117" s="80">
        <f>CORPbs!K31</f>
        <v>0</v>
      </c>
      <c r="L117" s="80">
        <f>CORPbs!L31</f>
        <v>0</v>
      </c>
      <c r="M117" s="80">
        <f>CORPbs!M31</f>
        <v>0</v>
      </c>
      <c r="N117" s="80">
        <f>CORPbs!N31</f>
        <v>0</v>
      </c>
      <c r="O117" s="80">
        <f>CORPbs!O31</f>
        <v>0</v>
      </c>
      <c r="P117" s="80">
        <f>CORPbs!P31</f>
        <v>0</v>
      </c>
      <c r="Q117" s="80">
        <f>CORPbs!Q31</f>
        <v>0</v>
      </c>
      <c r="R117"/>
    </row>
    <row r="118" spans="1:18" s="81" customFormat="1" hidden="1" outlineLevel="1" x14ac:dyDescent="0.25">
      <c r="C118" s="75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/>
    </row>
    <row r="119" spans="1:18" s="69" customFormat="1" collapsed="1" x14ac:dyDescent="0.25">
      <c r="B119" s="69" t="s">
        <v>48</v>
      </c>
      <c r="C119" s="76">
        <f>SUM(D119:Q119)-SUM(D120:Q122)</f>
        <v>0</v>
      </c>
      <c r="D119" s="77">
        <f t="shared" ref="D119:Q119" si="31">SUM(D120:D122)</f>
        <v>16.5</v>
      </c>
      <c r="E119" s="78">
        <f t="shared" si="31"/>
        <v>17</v>
      </c>
      <c r="F119" s="78">
        <f t="shared" si="31"/>
        <v>22</v>
      </c>
      <c r="G119" s="78">
        <f t="shared" si="31"/>
        <v>25.514297429755331</v>
      </c>
      <c r="H119" s="78">
        <f t="shared" si="31"/>
        <v>25.503889893930406</v>
      </c>
      <c r="I119" s="78">
        <f t="shared" si="31"/>
        <v>25.503889893930406</v>
      </c>
      <c r="J119" s="78">
        <f t="shared" si="31"/>
        <v>25.503889893930406</v>
      </c>
      <c r="K119" s="78">
        <f t="shared" si="31"/>
        <v>25.503889893930406</v>
      </c>
      <c r="L119" s="78">
        <f t="shared" si="31"/>
        <v>25.505889894025401</v>
      </c>
      <c r="M119" s="78">
        <f t="shared" si="31"/>
        <v>25.505889894025401</v>
      </c>
      <c r="N119" s="78">
        <f t="shared" si="31"/>
        <v>25.505889894258232</v>
      </c>
      <c r="O119" s="78">
        <f t="shared" si="31"/>
        <v>25.505889894491062</v>
      </c>
      <c r="P119" s="78">
        <f t="shared" si="31"/>
        <v>25.505889894491062</v>
      </c>
      <c r="Q119" s="78">
        <f t="shared" si="31"/>
        <v>25.505889894491062</v>
      </c>
      <c r="R119"/>
    </row>
    <row r="120" spans="1:18" s="69" customFormat="1" hidden="1" outlineLevel="1" x14ac:dyDescent="0.25">
      <c r="B120" s="69" t="s">
        <v>544</v>
      </c>
      <c r="C120" s="79">
        <f>SUM(Biz1bs!D32:Q32)-SUM(D120:Q120)</f>
        <v>0</v>
      </c>
      <c r="D120" s="80">
        <f>Biz1bs!D32</f>
        <v>0</v>
      </c>
      <c r="E120" s="80">
        <f>Biz1bs!E32</f>
        <v>0</v>
      </c>
      <c r="F120" s="80">
        <f>Biz1bs!F32</f>
        <v>0</v>
      </c>
      <c r="G120" s="80">
        <f>Biz1bs!G32</f>
        <v>0</v>
      </c>
      <c r="H120" s="80">
        <f>Biz1bs!H32</f>
        <v>0</v>
      </c>
      <c r="I120" s="80">
        <f>Biz1bs!I32</f>
        <v>0</v>
      </c>
      <c r="J120" s="80">
        <f>Biz1bs!J32</f>
        <v>0</v>
      </c>
      <c r="K120" s="80">
        <f>Biz1bs!K32</f>
        <v>0</v>
      </c>
      <c r="L120" s="80">
        <f>Biz1bs!L32</f>
        <v>0</v>
      </c>
      <c r="M120" s="80">
        <f>Biz1bs!M32</f>
        <v>0</v>
      </c>
      <c r="N120" s="80">
        <f>Biz1bs!N32</f>
        <v>0</v>
      </c>
      <c r="O120" s="80">
        <f>Biz1bs!O32</f>
        <v>0</v>
      </c>
      <c r="P120" s="80">
        <f>Biz1bs!P32</f>
        <v>0</v>
      </c>
      <c r="Q120" s="80">
        <f>Biz1bs!Q32</f>
        <v>0</v>
      </c>
      <c r="R120"/>
    </row>
    <row r="121" spans="1:18" s="69" customFormat="1" hidden="1" outlineLevel="1" x14ac:dyDescent="0.25">
      <c r="B121" s="69" t="s">
        <v>545</v>
      </c>
      <c r="C121" s="79">
        <f>SUM(Biz2bs!D32:Q32)-SUM(D121:Q121)</f>
        <v>0</v>
      </c>
      <c r="D121" s="80">
        <f>Biz2bs!D32</f>
        <v>0</v>
      </c>
      <c r="E121" s="80">
        <f>Biz2bs!E32</f>
        <v>0</v>
      </c>
      <c r="F121" s="80">
        <f>Biz2bs!F32</f>
        <v>0</v>
      </c>
      <c r="G121" s="80">
        <f>Biz2bs!G32</f>
        <v>0</v>
      </c>
      <c r="H121" s="80">
        <f>Biz2bs!H32</f>
        <v>0</v>
      </c>
      <c r="I121" s="80">
        <f>Biz2bs!I32</f>
        <v>0</v>
      </c>
      <c r="J121" s="80">
        <f>Biz2bs!J32</f>
        <v>0</v>
      </c>
      <c r="K121" s="80">
        <f>Biz2bs!K32</f>
        <v>0</v>
      </c>
      <c r="L121" s="80">
        <f>Biz2bs!L32</f>
        <v>0</v>
      </c>
      <c r="M121" s="80">
        <f>Biz2bs!M32</f>
        <v>0</v>
      </c>
      <c r="N121" s="80">
        <f>Biz2bs!N32</f>
        <v>0</v>
      </c>
      <c r="O121" s="80">
        <f>Biz2bs!O32</f>
        <v>0</v>
      </c>
      <c r="P121" s="80">
        <f>Biz2bs!P32</f>
        <v>0</v>
      </c>
      <c r="Q121" s="80">
        <f>Biz2bs!Q32</f>
        <v>0</v>
      </c>
      <c r="R121"/>
    </row>
    <row r="122" spans="1:18" s="69" customFormat="1" hidden="1" outlineLevel="1" x14ac:dyDescent="0.25">
      <c r="B122" s="69" t="s">
        <v>546</v>
      </c>
      <c r="C122" s="79">
        <f>SUM(CORPbs!D32:Q32)-SUM(D122:Q122)</f>
        <v>0</v>
      </c>
      <c r="D122" s="80">
        <f>CORPbs!D32</f>
        <v>16.5</v>
      </c>
      <c r="E122" s="80">
        <f>CORPbs!E32</f>
        <v>17</v>
      </c>
      <c r="F122" s="80">
        <f>CORPbs!F32</f>
        <v>22</v>
      </c>
      <c r="G122" s="80">
        <f>CORPbs!G32</f>
        <v>25.514297429755331</v>
      </c>
      <c r="H122" s="80">
        <f>CORPbs!H32</f>
        <v>25.503889893930406</v>
      </c>
      <c r="I122" s="80">
        <f>CORPbs!I32</f>
        <v>25.503889893930406</v>
      </c>
      <c r="J122" s="80">
        <f>CORPbs!J32</f>
        <v>25.503889893930406</v>
      </c>
      <c r="K122" s="80">
        <f>CORPbs!K32</f>
        <v>25.503889893930406</v>
      </c>
      <c r="L122" s="80">
        <f>CORPbs!L32</f>
        <v>25.505889894025401</v>
      </c>
      <c r="M122" s="80">
        <f>CORPbs!M32</f>
        <v>25.505889894025401</v>
      </c>
      <c r="N122" s="80">
        <f>CORPbs!N32</f>
        <v>25.505889894258232</v>
      </c>
      <c r="O122" s="80">
        <f>CORPbs!O32</f>
        <v>25.505889894491062</v>
      </c>
      <c r="P122" s="80">
        <f>CORPbs!P32</f>
        <v>25.505889894491062</v>
      </c>
      <c r="Q122" s="80">
        <f>CORPbs!Q32</f>
        <v>25.505889894491062</v>
      </c>
      <c r="R122"/>
    </row>
    <row r="123" spans="1:18" s="81" customFormat="1" hidden="1" outlineLevel="1" x14ac:dyDescent="0.25">
      <c r="C123" s="75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/>
    </row>
    <row r="124" spans="1:18" s="69" customFormat="1" collapsed="1" x14ac:dyDescent="0.25">
      <c r="B124" s="69" t="s">
        <v>49</v>
      </c>
      <c r="C124" s="76">
        <f>SUM(D124:Q124)-SUM(D125:Q127)</f>
        <v>0</v>
      </c>
      <c r="D124" s="77">
        <f t="shared" ref="D124:Q124" si="32">SUM(D125:D127)</f>
        <v>99677</v>
      </c>
      <c r="E124" s="78">
        <f t="shared" si="32"/>
        <v>117060</v>
      </c>
      <c r="F124" s="78">
        <f t="shared" si="32"/>
        <v>172404</v>
      </c>
      <c r="G124" s="78">
        <f t="shared" si="32"/>
        <v>240906</v>
      </c>
      <c r="H124" s="78">
        <f t="shared" si="32"/>
        <v>247298</v>
      </c>
      <c r="I124" s="78">
        <f t="shared" si="32"/>
        <v>247298</v>
      </c>
      <c r="J124" s="78">
        <f t="shared" si="32"/>
        <v>247298</v>
      </c>
      <c r="K124" s="78">
        <f t="shared" si="32"/>
        <v>247298</v>
      </c>
      <c r="L124" s="78">
        <f t="shared" si="32"/>
        <v>247298</v>
      </c>
      <c r="M124" s="78">
        <f t="shared" si="32"/>
        <v>253690</v>
      </c>
      <c r="N124" s="78">
        <f t="shared" si="32"/>
        <v>260082</v>
      </c>
      <c r="O124" s="78">
        <f t="shared" si="32"/>
        <v>266474</v>
      </c>
      <c r="P124" s="78">
        <f t="shared" si="32"/>
        <v>266474</v>
      </c>
      <c r="Q124" s="78">
        <f t="shared" si="32"/>
        <v>266474</v>
      </c>
      <c r="R124"/>
    </row>
    <row r="125" spans="1:18" s="69" customFormat="1" hidden="1" outlineLevel="1" x14ac:dyDescent="0.25">
      <c r="B125" s="69" t="s">
        <v>544</v>
      </c>
      <c r="C125" s="79">
        <f>SUM(Biz1bs!D33:Q33)-SUM(D125:Q125)</f>
        <v>0</v>
      </c>
      <c r="D125" s="80">
        <f>Biz1bs!D33</f>
        <v>0</v>
      </c>
      <c r="E125" s="80">
        <f>Biz1bs!E33</f>
        <v>0</v>
      </c>
      <c r="F125" s="80">
        <f>Biz1bs!F33</f>
        <v>0</v>
      </c>
      <c r="G125" s="80">
        <f>Biz1bs!G33</f>
        <v>0</v>
      </c>
      <c r="H125" s="80">
        <f>Biz1bs!H33</f>
        <v>0</v>
      </c>
      <c r="I125" s="80">
        <f>Biz1bs!I33</f>
        <v>0</v>
      </c>
      <c r="J125" s="80">
        <f>Biz1bs!J33</f>
        <v>0</v>
      </c>
      <c r="K125" s="80">
        <f>Biz1bs!K33</f>
        <v>0</v>
      </c>
      <c r="L125" s="80">
        <f>Biz1bs!L33</f>
        <v>0</v>
      </c>
      <c r="M125" s="80">
        <f>Biz1bs!M33</f>
        <v>0</v>
      </c>
      <c r="N125" s="80">
        <f>Biz1bs!N33</f>
        <v>0</v>
      </c>
      <c r="O125" s="80">
        <f>Biz1bs!O33</f>
        <v>0</v>
      </c>
      <c r="P125" s="80">
        <f>Biz1bs!P33</f>
        <v>0</v>
      </c>
      <c r="Q125" s="80">
        <f>Biz1bs!Q33</f>
        <v>0</v>
      </c>
      <c r="R125"/>
    </row>
    <row r="126" spans="1:18" s="69" customFormat="1" hidden="1" outlineLevel="1" x14ac:dyDescent="0.25">
      <c r="B126" s="69" t="s">
        <v>545</v>
      </c>
      <c r="C126" s="79">
        <f>SUM(Biz2bs!D33:Q33)-SUM(D126:Q126)</f>
        <v>0</v>
      </c>
      <c r="D126" s="80">
        <f>Biz2bs!D33</f>
        <v>0</v>
      </c>
      <c r="E126" s="80">
        <f>Biz2bs!E33</f>
        <v>0</v>
      </c>
      <c r="F126" s="80">
        <f>Biz2bs!F33</f>
        <v>0</v>
      </c>
      <c r="G126" s="80">
        <f>Biz2bs!G33</f>
        <v>0</v>
      </c>
      <c r="H126" s="80">
        <f>Biz2bs!H33</f>
        <v>0</v>
      </c>
      <c r="I126" s="80">
        <f>Biz2bs!I33</f>
        <v>0</v>
      </c>
      <c r="J126" s="80">
        <f>Biz2bs!J33</f>
        <v>0</v>
      </c>
      <c r="K126" s="80">
        <f>Biz2bs!K33</f>
        <v>0</v>
      </c>
      <c r="L126" s="80">
        <f>Biz2bs!L33</f>
        <v>0</v>
      </c>
      <c r="M126" s="80">
        <f>Biz2bs!M33</f>
        <v>0</v>
      </c>
      <c r="N126" s="80">
        <f>Biz2bs!N33</f>
        <v>0</v>
      </c>
      <c r="O126" s="80">
        <f>Biz2bs!O33</f>
        <v>0</v>
      </c>
      <c r="P126" s="80">
        <f>Biz2bs!P33</f>
        <v>0</v>
      </c>
      <c r="Q126" s="80">
        <f>Biz2bs!Q33</f>
        <v>0</v>
      </c>
      <c r="R126"/>
    </row>
    <row r="127" spans="1:18" s="69" customFormat="1" hidden="1" outlineLevel="1" x14ac:dyDescent="0.25">
      <c r="B127" s="69" t="s">
        <v>546</v>
      </c>
      <c r="C127" s="79">
        <f>SUM(CORPbs!D33:Q33)-SUM(D127:Q127)</f>
        <v>0</v>
      </c>
      <c r="D127" s="80">
        <f>CORPbs!D33</f>
        <v>99677</v>
      </c>
      <c r="E127" s="80">
        <f>CORPbs!E33</f>
        <v>117060</v>
      </c>
      <c r="F127" s="80">
        <f>CORPbs!F33</f>
        <v>172404</v>
      </c>
      <c r="G127" s="80">
        <f>CORPbs!G33</f>
        <v>240906</v>
      </c>
      <c r="H127" s="80">
        <f>CORPbs!H33</f>
        <v>247298</v>
      </c>
      <c r="I127" s="80">
        <f>CORPbs!I33</f>
        <v>247298</v>
      </c>
      <c r="J127" s="80">
        <f>CORPbs!J33</f>
        <v>247298</v>
      </c>
      <c r="K127" s="80">
        <f>CORPbs!K33</f>
        <v>247298</v>
      </c>
      <c r="L127" s="80">
        <f>CORPbs!L33</f>
        <v>247298</v>
      </c>
      <c r="M127" s="80">
        <f>CORPbs!M33</f>
        <v>253690</v>
      </c>
      <c r="N127" s="80">
        <f>CORPbs!N33</f>
        <v>260082</v>
      </c>
      <c r="O127" s="80">
        <f>CORPbs!O33</f>
        <v>266474</v>
      </c>
      <c r="P127" s="80">
        <f>CORPbs!P33</f>
        <v>266474</v>
      </c>
      <c r="Q127" s="80">
        <f>CORPbs!Q33</f>
        <v>266474</v>
      </c>
      <c r="R127"/>
    </row>
    <row r="128" spans="1:18" s="81" customFormat="1" hidden="1" outlineLevel="1" x14ac:dyDescent="0.25">
      <c r="C128" s="75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/>
    </row>
    <row r="129" spans="1:18" s="69" customFormat="1" collapsed="1" x14ac:dyDescent="0.25">
      <c r="B129" s="69" t="s">
        <v>50</v>
      </c>
      <c r="C129" s="76">
        <f>SUM(D129:Q129)-SUM(D130:Q132)</f>
        <v>6.4028427004814148E-10</v>
      </c>
      <c r="D129" s="77">
        <f t="shared" ref="D129:Q129" si="33">SUM(D130:D132)</f>
        <v>199767.22479555797</v>
      </c>
      <c r="E129" s="78">
        <f t="shared" si="33"/>
        <v>113116.18479555802</v>
      </c>
      <c r="F129" s="78">
        <f t="shared" si="33"/>
        <v>20960.774795558042</v>
      </c>
      <c r="G129" s="78">
        <f t="shared" si="33"/>
        <v>-45645.294811118074</v>
      </c>
      <c r="H129" s="78">
        <f t="shared" si="33"/>
        <v>-51137.43688144398</v>
      </c>
      <c r="I129" s="78">
        <f t="shared" si="33"/>
        <v>-58263.71059687293</v>
      </c>
      <c r="J129" s="78">
        <f t="shared" si="33"/>
        <v>-58274.98431230188</v>
      </c>
      <c r="K129" s="78">
        <f t="shared" si="33"/>
        <v>-58286.258027730742</v>
      </c>
      <c r="L129" s="78">
        <f t="shared" si="33"/>
        <v>-58297.533743159729</v>
      </c>
      <c r="M129" s="78">
        <f t="shared" si="33"/>
        <v>-56699.470266363234</v>
      </c>
      <c r="N129" s="78">
        <f t="shared" si="33"/>
        <v>-58351.004953527299</v>
      </c>
      <c r="O129" s="78">
        <f t="shared" si="33"/>
        <v>-58901.060016763804</v>
      </c>
      <c r="P129" s="78">
        <f t="shared" si="33"/>
        <v>-56178.6035618108</v>
      </c>
      <c r="Q129" s="78">
        <f t="shared" si="33"/>
        <v>-68607.04019058292</v>
      </c>
      <c r="R129"/>
    </row>
    <row r="130" spans="1:18" s="69" customFormat="1" hidden="1" outlineLevel="1" x14ac:dyDescent="0.25">
      <c r="B130" s="69" t="s">
        <v>544</v>
      </c>
      <c r="C130" s="79">
        <f>SUM(Biz1bs!D34:Q34)-SUM(D130:Q130)</f>
        <v>0</v>
      </c>
      <c r="D130" s="80">
        <f>Biz1bs!D34</f>
        <v>176008.04750803031</v>
      </c>
      <c r="E130" s="80">
        <f>Biz1bs!E34</f>
        <v>135783.8155080303</v>
      </c>
      <c r="F130" s="80">
        <f>Biz1bs!F34</f>
        <v>126583.13750803031</v>
      </c>
      <c r="G130" s="80">
        <f>Biz1bs!G34</f>
        <v>157714.59319878396</v>
      </c>
      <c r="H130" s="80">
        <f>Biz1bs!H34</f>
        <v>187285.76529071579</v>
      </c>
      <c r="I130" s="80">
        <f>Biz1bs!I34</f>
        <v>185326.96118720074</v>
      </c>
      <c r="J130" s="80">
        <f>Biz1bs!J34</f>
        <v>191618.15708368568</v>
      </c>
      <c r="K130" s="80">
        <f>Biz1bs!K34</f>
        <v>197909.35298017063</v>
      </c>
      <c r="L130" s="80">
        <f>Biz1bs!L34</f>
        <v>204200.54887665558</v>
      </c>
      <c r="M130" s="80">
        <f>Biz1bs!M34</f>
        <v>242203.76037847751</v>
      </c>
      <c r="N130" s="80">
        <f>Biz1bs!N34</f>
        <v>279181.76896471262</v>
      </c>
      <c r="O130" s="80">
        <f>Biz1bs!O34</f>
        <v>319612.6922309231</v>
      </c>
      <c r="P130" s="80">
        <f>Biz1bs!P34</f>
        <v>357255.64758454321</v>
      </c>
      <c r="Q130" s="80">
        <f>Biz1bs!Q34</f>
        <v>379747.53067883797</v>
      </c>
      <c r="R130"/>
    </row>
    <row r="131" spans="1:18" s="69" customFormat="1" hidden="1" outlineLevel="1" x14ac:dyDescent="0.25">
      <c r="B131" s="69" t="s">
        <v>545</v>
      </c>
      <c r="C131" s="79">
        <f>SUM(Biz2bs!D34:Q34)-SUM(D131:Q131)</f>
        <v>0</v>
      </c>
      <c r="D131" s="80">
        <f>Biz2bs!D34</f>
        <v>-1735.5127124722858</v>
      </c>
      <c r="E131" s="80">
        <f>Biz2bs!E34</f>
        <v>2256.5602875277109</v>
      </c>
      <c r="F131" s="80">
        <f>Biz2bs!F34</f>
        <v>6037.5852875277124</v>
      </c>
      <c r="G131" s="80">
        <f>Biz2bs!G34</f>
        <v>6941.9262875277127</v>
      </c>
      <c r="H131" s="80">
        <f>Biz2bs!H34</f>
        <v>8133.9558125277144</v>
      </c>
      <c r="I131" s="80">
        <f>Biz2bs!I34</f>
        <v>9746.871464393309</v>
      </c>
      <c r="J131" s="80">
        <f>Biz2bs!J34</f>
        <v>10224.787116258911</v>
      </c>
      <c r="K131" s="80">
        <f>Biz2bs!K34</f>
        <v>10702.702768124513</v>
      </c>
      <c r="L131" s="80">
        <f>Biz2bs!L34</f>
        <v>11180.618419990114</v>
      </c>
      <c r="M131" s="80">
        <f>Biz2bs!M34</f>
        <v>12249.108244452509</v>
      </c>
      <c r="N131" s="80">
        <f>Biz2bs!N34</f>
        <v>13857.554313579854</v>
      </c>
      <c r="O131" s="80">
        <f>Biz2bs!O34</f>
        <v>15587.656150870363</v>
      </c>
      <c r="P131" s="80">
        <f>Biz2bs!P34</f>
        <v>17415.033727160866</v>
      </c>
      <c r="Q131" s="80">
        <f>Biz2bs!Q34</f>
        <v>19242.411303451372</v>
      </c>
      <c r="R131"/>
    </row>
    <row r="132" spans="1:18" s="69" customFormat="1" hidden="1" outlineLevel="1" x14ac:dyDescent="0.25">
      <c r="B132" s="69" t="s">
        <v>546</v>
      </c>
      <c r="C132" s="79">
        <f>SUM(CORPbs!D34:Q34)-SUM(D132:Q132)</f>
        <v>0</v>
      </c>
      <c r="D132" s="80">
        <f>CORPbs!D34</f>
        <v>25494.689999999944</v>
      </c>
      <c r="E132" s="80">
        <f>CORPbs!E34</f>
        <v>-24924.190999999992</v>
      </c>
      <c r="F132" s="80">
        <f>CORPbs!F34</f>
        <v>-111659.94799999997</v>
      </c>
      <c r="G132" s="80">
        <f>CORPbs!G34</f>
        <v>-210301.81429742975</v>
      </c>
      <c r="H132" s="80">
        <f>CORPbs!H34</f>
        <v>-246557.15798468748</v>
      </c>
      <c r="I132" s="80">
        <f>CORPbs!I34</f>
        <v>-253337.54324846697</v>
      </c>
      <c r="J132" s="80">
        <f>CORPbs!J34</f>
        <v>-260117.92851224646</v>
      </c>
      <c r="K132" s="80">
        <f>CORPbs!K34</f>
        <v>-266898.3137760259</v>
      </c>
      <c r="L132" s="80">
        <f>CORPbs!L34</f>
        <v>-273678.70103980543</v>
      </c>
      <c r="M132" s="80">
        <f>CORPbs!M34</f>
        <v>-311152.33888929326</v>
      </c>
      <c r="N132" s="80">
        <f>CORPbs!N34</f>
        <v>-351390.32823181979</v>
      </c>
      <c r="O132" s="80">
        <f>CORPbs!O34</f>
        <v>-394101.40839855728</v>
      </c>
      <c r="P132" s="80">
        <f>CORPbs!P34</f>
        <v>-430849.2848735149</v>
      </c>
      <c r="Q132" s="80">
        <f>CORPbs!Q34</f>
        <v>-467596.98217287223</v>
      </c>
      <c r="R132"/>
    </row>
    <row r="133" spans="1:18" s="81" customFormat="1" hidden="1" outlineLevel="1" x14ac:dyDescent="0.25">
      <c r="C133" s="75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/>
    </row>
    <row r="134" spans="1:18" s="69" customFormat="1" collapsed="1" x14ac:dyDescent="0.25">
      <c r="B134" s="74" t="s">
        <v>51</v>
      </c>
      <c r="C134" s="76">
        <f>SUM(D134:Q134)-SUM(D135:Q137)</f>
        <v>0</v>
      </c>
      <c r="D134" s="77">
        <f t="shared" ref="D134:Q134" si="34">SUM(D135:D137)</f>
        <v>0</v>
      </c>
      <c r="E134" s="78">
        <f t="shared" si="34"/>
        <v>0</v>
      </c>
      <c r="F134" s="78">
        <f t="shared" si="34"/>
        <v>0</v>
      </c>
      <c r="G134" s="78">
        <f t="shared" si="34"/>
        <v>0</v>
      </c>
      <c r="H134" s="78">
        <f t="shared" si="34"/>
        <v>0</v>
      </c>
      <c r="I134" s="78">
        <f t="shared" si="34"/>
        <v>0</v>
      </c>
      <c r="J134" s="78">
        <f t="shared" si="34"/>
        <v>0</v>
      </c>
      <c r="K134" s="78">
        <f t="shared" si="34"/>
        <v>0</v>
      </c>
      <c r="L134" s="78">
        <f t="shared" si="34"/>
        <v>0</v>
      </c>
      <c r="M134" s="78">
        <f t="shared" si="34"/>
        <v>0</v>
      </c>
      <c r="N134" s="78">
        <f t="shared" si="34"/>
        <v>0</v>
      </c>
      <c r="O134" s="78">
        <f t="shared" si="34"/>
        <v>0</v>
      </c>
      <c r="P134" s="78">
        <f t="shared" si="34"/>
        <v>0</v>
      </c>
      <c r="Q134" s="78">
        <f t="shared" si="34"/>
        <v>0</v>
      </c>
      <c r="R134"/>
    </row>
    <row r="135" spans="1:18" s="69" customFormat="1" hidden="1" outlineLevel="1" x14ac:dyDescent="0.25">
      <c r="B135" s="69" t="s">
        <v>544</v>
      </c>
      <c r="C135" s="79">
        <f>SUM(Biz1bs!D35:Q35)-SUM(D135:Q135)</f>
        <v>0</v>
      </c>
      <c r="D135" s="80">
        <f>Biz1bs!D35</f>
        <v>0</v>
      </c>
      <c r="E135" s="80">
        <f>Biz1bs!E35</f>
        <v>0</v>
      </c>
      <c r="F135" s="80">
        <f>Biz1bs!F35</f>
        <v>0</v>
      </c>
      <c r="G135" s="80">
        <f>Biz1bs!G35</f>
        <v>0</v>
      </c>
      <c r="H135" s="80">
        <f>Biz1bs!H35</f>
        <v>0</v>
      </c>
      <c r="I135" s="80">
        <f>Biz1bs!I35</f>
        <v>0</v>
      </c>
      <c r="J135" s="80">
        <f>Biz1bs!J35</f>
        <v>0</v>
      </c>
      <c r="K135" s="80">
        <f>Biz1bs!K35</f>
        <v>0</v>
      </c>
      <c r="L135" s="80">
        <f>Biz1bs!L35</f>
        <v>0</v>
      </c>
      <c r="M135" s="80">
        <f>Biz1bs!M35</f>
        <v>0</v>
      </c>
      <c r="N135" s="80">
        <f>Biz1bs!N35</f>
        <v>0</v>
      </c>
      <c r="O135" s="80">
        <f>Biz1bs!O35</f>
        <v>0</v>
      </c>
      <c r="P135" s="80">
        <f>Biz1bs!P35</f>
        <v>0</v>
      </c>
      <c r="Q135" s="80">
        <f>Biz1bs!Q35</f>
        <v>0</v>
      </c>
      <c r="R135"/>
    </row>
    <row r="136" spans="1:18" s="69" customFormat="1" hidden="1" outlineLevel="1" x14ac:dyDescent="0.25">
      <c r="B136" s="69" t="s">
        <v>545</v>
      </c>
      <c r="C136" s="79">
        <f>SUM(Biz2bs!D35:Q35)-SUM(D136:Q136)</f>
        <v>0</v>
      </c>
      <c r="D136" s="80">
        <f>Biz2bs!D35</f>
        <v>0</v>
      </c>
      <c r="E136" s="80">
        <f>Biz2bs!E35</f>
        <v>0</v>
      </c>
      <c r="F136" s="80">
        <f>Biz2bs!F35</f>
        <v>0</v>
      </c>
      <c r="G136" s="80">
        <f>Biz2bs!G35</f>
        <v>0</v>
      </c>
      <c r="H136" s="80">
        <f>Biz2bs!H35</f>
        <v>0</v>
      </c>
      <c r="I136" s="80">
        <f>Biz2bs!I35</f>
        <v>0</v>
      </c>
      <c r="J136" s="80">
        <f>Biz2bs!J35</f>
        <v>0</v>
      </c>
      <c r="K136" s="80">
        <f>Biz2bs!K35</f>
        <v>0</v>
      </c>
      <c r="L136" s="80">
        <f>Biz2bs!L35</f>
        <v>0</v>
      </c>
      <c r="M136" s="80">
        <f>Biz2bs!M35</f>
        <v>0</v>
      </c>
      <c r="N136" s="80">
        <f>Biz2bs!N35</f>
        <v>0</v>
      </c>
      <c r="O136" s="80">
        <f>Biz2bs!O35</f>
        <v>0</v>
      </c>
      <c r="P136" s="80">
        <f>Biz2bs!P35</f>
        <v>0</v>
      </c>
      <c r="Q136" s="80">
        <f>Biz2bs!Q35</f>
        <v>0</v>
      </c>
      <c r="R136"/>
    </row>
    <row r="137" spans="1:18" s="69" customFormat="1" hidden="1" outlineLevel="1" x14ac:dyDescent="0.25">
      <c r="B137" s="69" t="s">
        <v>546</v>
      </c>
      <c r="C137" s="79">
        <f>SUM(CORPbs!D35:Q35)-SUM(D137:Q137)</f>
        <v>0</v>
      </c>
      <c r="D137" s="80">
        <f>CORPbs!D35</f>
        <v>0</v>
      </c>
      <c r="E137" s="80">
        <f>CORPbs!E35</f>
        <v>0</v>
      </c>
      <c r="F137" s="80">
        <f>CORPbs!F35</f>
        <v>0</v>
      </c>
      <c r="G137" s="80">
        <f>CORPbs!G35</f>
        <v>0</v>
      </c>
      <c r="H137" s="80">
        <f>CORPbs!H35</f>
        <v>0</v>
      </c>
      <c r="I137" s="80">
        <f>CORPbs!I35</f>
        <v>0</v>
      </c>
      <c r="J137" s="80">
        <f>CORPbs!J35</f>
        <v>0</v>
      </c>
      <c r="K137" s="80">
        <f>CORPbs!K35</f>
        <v>0</v>
      </c>
      <c r="L137" s="80">
        <f>CORPbs!L35</f>
        <v>0</v>
      </c>
      <c r="M137" s="80">
        <f>CORPbs!M35</f>
        <v>0</v>
      </c>
      <c r="N137" s="80">
        <f>CORPbs!N35</f>
        <v>0</v>
      </c>
      <c r="O137" s="80">
        <f>CORPbs!O35</f>
        <v>0</v>
      </c>
      <c r="P137" s="80">
        <f>CORPbs!P35</f>
        <v>0</v>
      </c>
      <c r="Q137" s="80">
        <f>CORPbs!Q35</f>
        <v>0</v>
      </c>
      <c r="R137"/>
    </row>
    <row r="138" spans="1:18" s="81" customFormat="1" hidden="1" outlineLevel="1" x14ac:dyDescent="0.25">
      <c r="C138" s="75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/>
    </row>
    <row r="139" spans="1:18" s="81" customFormat="1" collapsed="1" x14ac:dyDescent="0.25">
      <c r="A139" s="69" t="s">
        <v>563</v>
      </c>
      <c r="B139" s="69"/>
      <c r="C139" s="76">
        <f>SUM(D140:Q142)-SUM(D139:Q139)</f>
        <v>0</v>
      </c>
      <c r="D139" s="83">
        <f t="shared" ref="D139:Q139" si="35">SUM(D140:D142)</f>
        <v>299460.72479555797</v>
      </c>
      <c r="E139" s="83">
        <f t="shared" si="35"/>
        <v>230193.18479555802</v>
      </c>
      <c r="F139" s="83">
        <f t="shared" si="35"/>
        <v>193386.77479555804</v>
      </c>
      <c r="G139" s="83">
        <f t="shared" si="35"/>
        <v>195286.21948631169</v>
      </c>
      <c r="H139" s="83">
        <f t="shared" si="35"/>
        <v>196186.06700844996</v>
      </c>
      <c r="I139" s="83">
        <f t="shared" si="35"/>
        <v>189059.79329302101</v>
      </c>
      <c r="J139" s="83">
        <f t="shared" si="35"/>
        <v>189048.51957759206</v>
      </c>
      <c r="K139" s="83">
        <f t="shared" si="35"/>
        <v>189037.2458621632</v>
      </c>
      <c r="L139" s="83">
        <f t="shared" si="35"/>
        <v>189025.9721467343</v>
      </c>
      <c r="M139" s="83">
        <f t="shared" si="35"/>
        <v>197016.0356235308</v>
      </c>
      <c r="N139" s="83">
        <f t="shared" si="35"/>
        <v>201756.50093636697</v>
      </c>
      <c r="O139" s="83">
        <f t="shared" si="35"/>
        <v>207598.44587313069</v>
      </c>
      <c r="P139" s="83">
        <f t="shared" si="35"/>
        <v>210320.9023280837</v>
      </c>
      <c r="Q139" s="83">
        <f t="shared" si="35"/>
        <v>197892.46569931158</v>
      </c>
      <c r="R139"/>
    </row>
    <row r="140" spans="1:18" s="81" customFormat="1" hidden="1" outlineLevel="1" x14ac:dyDescent="0.25">
      <c r="B140" s="69" t="s">
        <v>544</v>
      </c>
      <c r="C140" s="79">
        <f>SUM(Biz1bs!D36:Q36)-SUM(D140:Q140)</f>
        <v>0</v>
      </c>
      <c r="D140" s="82">
        <f t="shared" ref="D140:Q140" si="36">SUM(D115,D120,D125,D130,D135)</f>
        <v>176008.04750803031</v>
      </c>
      <c r="E140" s="82">
        <f t="shared" si="36"/>
        <v>135783.8155080303</v>
      </c>
      <c r="F140" s="82">
        <f t="shared" si="36"/>
        <v>126583.13750803031</v>
      </c>
      <c r="G140" s="82">
        <f t="shared" si="36"/>
        <v>157714.59319878396</v>
      </c>
      <c r="H140" s="82">
        <f t="shared" si="36"/>
        <v>187285.76529071579</v>
      </c>
      <c r="I140" s="82">
        <f t="shared" si="36"/>
        <v>185326.96118720074</v>
      </c>
      <c r="J140" s="82">
        <f t="shared" si="36"/>
        <v>191618.15708368568</v>
      </c>
      <c r="K140" s="82">
        <f t="shared" si="36"/>
        <v>197909.35298017063</v>
      </c>
      <c r="L140" s="82">
        <f t="shared" si="36"/>
        <v>204200.54887665558</v>
      </c>
      <c r="M140" s="82">
        <f t="shared" si="36"/>
        <v>242203.76037847751</v>
      </c>
      <c r="N140" s="82">
        <f t="shared" si="36"/>
        <v>279181.76896471262</v>
      </c>
      <c r="O140" s="82">
        <f t="shared" si="36"/>
        <v>319612.6922309231</v>
      </c>
      <c r="P140" s="82">
        <f t="shared" si="36"/>
        <v>357255.64758454321</v>
      </c>
      <c r="Q140" s="82">
        <f t="shared" si="36"/>
        <v>379747.53067883797</v>
      </c>
      <c r="R140"/>
    </row>
    <row r="141" spans="1:18" s="81" customFormat="1" hidden="1" outlineLevel="1" x14ac:dyDescent="0.25">
      <c r="B141" s="69" t="s">
        <v>545</v>
      </c>
      <c r="C141" s="79">
        <f>SUM(Biz2bs!D36:Q36)-SUM(D141:Q141)</f>
        <v>0</v>
      </c>
      <c r="D141" s="82">
        <f t="shared" ref="D141:Q141" si="37">SUM(D116,D121,D126,D131,D136)</f>
        <v>-1735.5127124722858</v>
      </c>
      <c r="E141" s="82">
        <f t="shared" si="37"/>
        <v>2256.5602875277109</v>
      </c>
      <c r="F141" s="82">
        <f t="shared" si="37"/>
        <v>6037.5852875277124</v>
      </c>
      <c r="G141" s="82">
        <f t="shared" si="37"/>
        <v>6941.9262875277127</v>
      </c>
      <c r="H141" s="82">
        <f t="shared" si="37"/>
        <v>8133.9558125277144</v>
      </c>
      <c r="I141" s="82">
        <f t="shared" si="37"/>
        <v>9746.871464393309</v>
      </c>
      <c r="J141" s="82">
        <f t="shared" si="37"/>
        <v>10224.787116258911</v>
      </c>
      <c r="K141" s="82">
        <f t="shared" si="37"/>
        <v>10702.702768124513</v>
      </c>
      <c r="L141" s="82">
        <f t="shared" si="37"/>
        <v>11180.618419990114</v>
      </c>
      <c r="M141" s="82">
        <f t="shared" si="37"/>
        <v>12249.108244452509</v>
      </c>
      <c r="N141" s="82">
        <f t="shared" si="37"/>
        <v>13857.554313579854</v>
      </c>
      <c r="O141" s="82">
        <f t="shared" si="37"/>
        <v>15587.656150870363</v>
      </c>
      <c r="P141" s="82">
        <f t="shared" si="37"/>
        <v>17415.033727160866</v>
      </c>
      <c r="Q141" s="82">
        <f t="shared" si="37"/>
        <v>19242.411303451372</v>
      </c>
      <c r="R141"/>
    </row>
    <row r="142" spans="1:18" s="81" customFormat="1" hidden="1" outlineLevel="1" x14ac:dyDescent="0.25">
      <c r="B142" s="69" t="s">
        <v>546</v>
      </c>
      <c r="C142" s="79">
        <f>SUM(CORPbs!D36:Q36)-SUM(D142:Q142)</f>
        <v>0</v>
      </c>
      <c r="D142" s="82">
        <f t="shared" ref="D142:Q142" si="38">SUM(D117,D122,D127,D132,D137)</f>
        <v>125188.18999999994</v>
      </c>
      <c r="E142" s="82">
        <f t="shared" si="38"/>
        <v>92152.809000000008</v>
      </c>
      <c r="F142" s="82">
        <f t="shared" si="38"/>
        <v>60766.052000000025</v>
      </c>
      <c r="G142" s="82">
        <f t="shared" si="38"/>
        <v>30629.700000000012</v>
      </c>
      <c r="H142" s="82">
        <f t="shared" si="38"/>
        <v>766.34590520645725</v>
      </c>
      <c r="I142" s="82">
        <f t="shared" si="38"/>
        <v>-6014.0393585730344</v>
      </c>
      <c r="J142" s="82">
        <f t="shared" si="38"/>
        <v>-12794.424622352526</v>
      </c>
      <c r="K142" s="82">
        <f t="shared" si="38"/>
        <v>-19574.80988613196</v>
      </c>
      <c r="L142" s="82">
        <f t="shared" si="38"/>
        <v>-26355.195149911393</v>
      </c>
      <c r="M142" s="82">
        <f t="shared" si="38"/>
        <v>-57436.832999399223</v>
      </c>
      <c r="N142" s="82">
        <f t="shared" si="38"/>
        <v>-91282.822341925523</v>
      </c>
      <c r="O142" s="82">
        <f t="shared" si="38"/>
        <v>-127601.90250866278</v>
      </c>
      <c r="P142" s="82">
        <f t="shared" si="38"/>
        <v>-164349.7789836204</v>
      </c>
      <c r="Q142" s="82">
        <f t="shared" si="38"/>
        <v>-201097.47628297773</v>
      </c>
      <c r="R142"/>
    </row>
    <row r="143" spans="1:18" s="69" customFormat="1" hidden="1" outlineLevel="1" x14ac:dyDescent="0.25">
      <c r="C143" s="75"/>
      <c r="H143" s="68"/>
      <c r="M143" s="68"/>
      <c r="N143" s="68"/>
      <c r="O143" s="68"/>
      <c r="P143" s="68"/>
      <c r="Q143" s="68"/>
      <c r="R143"/>
    </row>
    <row r="144" spans="1:18" s="69" customFormat="1" collapsed="1" x14ac:dyDescent="0.25">
      <c r="B144" s="74" t="s">
        <v>52</v>
      </c>
      <c r="C144" s="76">
        <f>SUM(D144:Q144)-SUM(D145:Q147)</f>
        <v>0</v>
      </c>
      <c r="D144" s="77">
        <f t="shared" ref="D144:Q144" si="39">SUM(D145:D147)</f>
        <v>8618</v>
      </c>
      <c r="E144" s="78">
        <f t="shared" si="39"/>
        <v>8724</v>
      </c>
      <c r="F144" s="78">
        <f t="shared" si="39"/>
        <v>11469</v>
      </c>
      <c r="G144" s="78">
        <f t="shared" si="39"/>
        <v>13569.611000000001</v>
      </c>
      <c r="H144" s="78">
        <f t="shared" si="39"/>
        <v>17562.803682842627</v>
      </c>
      <c r="I144" s="78">
        <f t="shared" si="39"/>
        <v>17562.803682842627</v>
      </c>
      <c r="J144" s="78">
        <f t="shared" si="39"/>
        <v>17562.803682842627</v>
      </c>
      <c r="K144" s="78">
        <f t="shared" si="39"/>
        <v>17562.803682842627</v>
      </c>
      <c r="L144" s="78">
        <f t="shared" si="39"/>
        <v>17562.803682842627</v>
      </c>
      <c r="M144" s="78">
        <f t="shared" si="39"/>
        <v>20619.935477212552</v>
      </c>
      <c r="N144" s="78">
        <f t="shared" si="39"/>
        <v>24746.285236212865</v>
      </c>
      <c r="O144" s="78">
        <f t="shared" si="39"/>
        <v>29709.488927992581</v>
      </c>
      <c r="P144" s="78">
        <f t="shared" si="39"/>
        <v>29709.488927992581</v>
      </c>
      <c r="Q144" s="78">
        <f t="shared" si="39"/>
        <v>29709.488927992581</v>
      </c>
      <c r="R144"/>
    </row>
    <row r="145" spans="1:18" s="84" customFormat="1" hidden="1" outlineLevel="1" x14ac:dyDescent="0.25">
      <c r="B145" s="84" t="s">
        <v>544</v>
      </c>
      <c r="C145" s="79">
        <f>SUM(Biz1bs!D37:Q37)-SUM(D145:Q145)</f>
        <v>0</v>
      </c>
      <c r="D145" s="80">
        <f>Biz1bs!D37</f>
        <v>0</v>
      </c>
      <c r="E145" s="80">
        <f>Biz1bs!E37</f>
        <v>0</v>
      </c>
      <c r="F145" s="80">
        <f>Biz1bs!F37</f>
        <v>0</v>
      </c>
      <c r="G145" s="80">
        <f>Biz1bs!G37</f>
        <v>0</v>
      </c>
      <c r="H145" s="80">
        <f>Biz1bs!H37</f>
        <v>0</v>
      </c>
      <c r="I145" s="80">
        <f>Biz1bs!I37</f>
        <v>0</v>
      </c>
      <c r="J145" s="80">
        <f>Biz1bs!J37</f>
        <v>0</v>
      </c>
      <c r="K145" s="80">
        <f>Biz1bs!K37</f>
        <v>0</v>
      </c>
      <c r="L145" s="80">
        <f>Biz1bs!L37</f>
        <v>0</v>
      </c>
      <c r="M145" s="80">
        <f>Biz1bs!M37</f>
        <v>0</v>
      </c>
      <c r="N145" s="80">
        <f>Biz1bs!N37</f>
        <v>0</v>
      </c>
      <c r="O145" s="80">
        <f>Biz1bs!O37</f>
        <v>0</v>
      </c>
      <c r="P145" s="80">
        <f>Biz1bs!P37</f>
        <v>0</v>
      </c>
      <c r="Q145" s="80">
        <f>Biz1bs!Q37</f>
        <v>0</v>
      </c>
      <c r="R145"/>
    </row>
    <row r="146" spans="1:18" s="84" customFormat="1" hidden="1" outlineLevel="1" x14ac:dyDescent="0.25">
      <c r="B146" s="84" t="s">
        <v>545</v>
      </c>
      <c r="C146" s="79">
        <f>SUM(Biz2bs!D37:Q37)-SUM(D146:Q146)</f>
        <v>0</v>
      </c>
      <c r="D146" s="80">
        <f>Biz2bs!D37</f>
        <v>0</v>
      </c>
      <c r="E146" s="80">
        <f>Biz2bs!E37</f>
        <v>0</v>
      </c>
      <c r="F146" s="80">
        <f>Biz2bs!F37</f>
        <v>0</v>
      </c>
      <c r="G146" s="80">
        <f>Biz2bs!G37</f>
        <v>0</v>
      </c>
      <c r="H146" s="80">
        <f>Biz2bs!H37</f>
        <v>0</v>
      </c>
      <c r="I146" s="80">
        <f>Biz2bs!I37</f>
        <v>0</v>
      </c>
      <c r="J146" s="80">
        <f>Biz2bs!J37</f>
        <v>0</v>
      </c>
      <c r="K146" s="80">
        <f>Biz2bs!K37</f>
        <v>0</v>
      </c>
      <c r="L146" s="80">
        <f>Biz2bs!L37</f>
        <v>0</v>
      </c>
      <c r="M146" s="80">
        <f>Biz2bs!M37</f>
        <v>0</v>
      </c>
      <c r="N146" s="80">
        <f>Biz2bs!N37</f>
        <v>0</v>
      </c>
      <c r="O146" s="80">
        <f>Biz2bs!O37</f>
        <v>0</v>
      </c>
      <c r="P146" s="80">
        <f>Biz2bs!P37</f>
        <v>0</v>
      </c>
      <c r="Q146" s="80">
        <f>Biz2bs!Q37</f>
        <v>0</v>
      </c>
      <c r="R146"/>
    </row>
    <row r="147" spans="1:18" s="84" customFormat="1" hidden="1" outlineLevel="1" x14ac:dyDescent="0.25">
      <c r="B147" s="84" t="s">
        <v>546</v>
      </c>
      <c r="C147" s="79">
        <f>SUM(CORPbs!D37:Q37)-SUM(D147:Q147)</f>
        <v>0</v>
      </c>
      <c r="D147" s="80">
        <f>CORPbs!D37</f>
        <v>8618</v>
      </c>
      <c r="E147" s="80">
        <f>CORPbs!E37</f>
        <v>8724</v>
      </c>
      <c r="F147" s="80">
        <f>CORPbs!F37</f>
        <v>11469</v>
      </c>
      <c r="G147" s="80">
        <f>CORPbs!G37</f>
        <v>13569.611000000001</v>
      </c>
      <c r="H147" s="80">
        <f>CORPbs!H37</f>
        <v>17562.803682842627</v>
      </c>
      <c r="I147" s="80">
        <f>CORPbs!I37</f>
        <v>17562.803682842627</v>
      </c>
      <c r="J147" s="80">
        <f>CORPbs!J37</f>
        <v>17562.803682842627</v>
      </c>
      <c r="K147" s="80">
        <f>CORPbs!K37</f>
        <v>17562.803682842627</v>
      </c>
      <c r="L147" s="80">
        <f>CORPbs!L37</f>
        <v>17562.803682842627</v>
      </c>
      <c r="M147" s="80">
        <f>CORPbs!M37</f>
        <v>20619.935477212552</v>
      </c>
      <c r="N147" s="80">
        <f>CORPbs!N37</f>
        <v>24746.285236212865</v>
      </c>
      <c r="O147" s="80">
        <f>CORPbs!O37</f>
        <v>29709.488927992581</v>
      </c>
      <c r="P147" s="80">
        <f>CORPbs!P37</f>
        <v>29709.488927992581</v>
      </c>
      <c r="Q147" s="80">
        <f>CORPbs!Q37</f>
        <v>29709.488927992581</v>
      </c>
      <c r="R147"/>
    </row>
    <row r="148" spans="1:18" s="45" customFormat="1" hidden="1" outlineLevel="1" x14ac:dyDescent="0.25">
      <c r="C148" s="2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/>
    </row>
    <row r="149" spans="1:18" s="86" customFormat="1" collapsed="1" x14ac:dyDescent="0.25">
      <c r="A149" s="68" t="s">
        <v>53</v>
      </c>
      <c r="B149" s="68"/>
      <c r="C149" s="15">
        <f>SUM(D150:Q152)-SUM(D149:Q149)</f>
        <v>0</v>
      </c>
      <c r="D149" s="85">
        <f t="shared" ref="D149:Q149" si="40">SUM(D150:D152)</f>
        <v>308078.72479555797</v>
      </c>
      <c r="E149" s="85">
        <f t="shared" si="40"/>
        <v>238917.18479555802</v>
      </c>
      <c r="F149" s="85">
        <f t="shared" si="40"/>
        <v>204855.77479555804</v>
      </c>
      <c r="G149" s="85">
        <f t="shared" si="40"/>
        <v>208855.83048631169</v>
      </c>
      <c r="H149" s="85">
        <f t="shared" si="40"/>
        <v>213748.87069129257</v>
      </c>
      <c r="I149" s="85">
        <f t="shared" si="40"/>
        <v>206622.59697586362</v>
      </c>
      <c r="J149" s="85">
        <f t="shared" si="40"/>
        <v>206611.32326043467</v>
      </c>
      <c r="K149" s="85">
        <f t="shared" si="40"/>
        <v>206600.04954500584</v>
      </c>
      <c r="L149" s="85">
        <f t="shared" si="40"/>
        <v>206588.77582957695</v>
      </c>
      <c r="M149" s="85">
        <f t="shared" si="40"/>
        <v>217635.97110074334</v>
      </c>
      <c r="N149" s="85">
        <f t="shared" si="40"/>
        <v>226502.78617257983</v>
      </c>
      <c r="O149" s="85">
        <f t="shared" si="40"/>
        <v>237307.93480112328</v>
      </c>
      <c r="P149" s="85">
        <f t="shared" si="40"/>
        <v>240030.39125607628</v>
      </c>
      <c r="Q149" s="85">
        <f t="shared" si="40"/>
        <v>227601.95462730416</v>
      </c>
      <c r="R149"/>
    </row>
    <row r="150" spans="1:18" s="81" customFormat="1" hidden="1" outlineLevel="1" x14ac:dyDescent="0.25">
      <c r="B150" s="69" t="s">
        <v>544</v>
      </c>
      <c r="C150" s="17">
        <f>SUM(Biz1bs!D38:Q38)-SUM(D150:Q150)</f>
        <v>0</v>
      </c>
      <c r="D150" s="82">
        <f t="shared" ref="D150:Q150" si="41">SUM(D140,D145)</f>
        <v>176008.04750803031</v>
      </c>
      <c r="E150" s="82">
        <f t="shared" si="41"/>
        <v>135783.8155080303</v>
      </c>
      <c r="F150" s="82">
        <f t="shared" si="41"/>
        <v>126583.13750803031</v>
      </c>
      <c r="G150" s="82">
        <f t="shared" si="41"/>
        <v>157714.59319878396</v>
      </c>
      <c r="H150" s="82">
        <f t="shared" si="41"/>
        <v>187285.76529071579</v>
      </c>
      <c r="I150" s="82">
        <f t="shared" si="41"/>
        <v>185326.96118720074</v>
      </c>
      <c r="J150" s="82">
        <f t="shared" si="41"/>
        <v>191618.15708368568</v>
      </c>
      <c r="K150" s="82">
        <f t="shared" si="41"/>
        <v>197909.35298017063</v>
      </c>
      <c r="L150" s="82">
        <f t="shared" si="41"/>
        <v>204200.54887665558</v>
      </c>
      <c r="M150" s="82">
        <f t="shared" si="41"/>
        <v>242203.76037847751</v>
      </c>
      <c r="N150" s="82">
        <f t="shared" si="41"/>
        <v>279181.76896471262</v>
      </c>
      <c r="O150" s="82">
        <f t="shared" si="41"/>
        <v>319612.6922309231</v>
      </c>
      <c r="P150" s="82">
        <f t="shared" si="41"/>
        <v>357255.64758454321</v>
      </c>
      <c r="Q150" s="82">
        <f t="shared" si="41"/>
        <v>379747.53067883797</v>
      </c>
      <c r="R150"/>
    </row>
    <row r="151" spans="1:18" s="81" customFormat="1" hidden="1" outlineLevel="1" x14ac:dyDescent="0.25">
      <c r="B151" s="69" t="s">
        <v>545</v>
      </c>
      <c r="C151" s="17">
        <f>SUM(Biz2bs!D38:Q38)-SUM(D151:Q151)</f>
        <v>0</v>
      </c>
      <c r="D151" s="82">
        <f t="shared" ref="D151:Q151" si="42">SUM(D141,D146)</f>
        <v>-1735.5127124722858</v>
      </c>
      <c r="E151" s="82">
        <f t="shared" si="42"/>
        <v>2256.5602875277109</v>
      </c>
      <c r="F151" s="82">
        <f t="shared" si="42"/>
        <v>6037.5852875277124</v>
      </c>
      <c r="G151" s="82">
        <f t="shared" si="42"/>
        <v>6941.9262875277127</v>
      </c>
      <c r="H151" s="82">
        <f t="shared" si="42"/>
        <v>8133.9558125277144</v>
      </c>
      <c r="I151" s="82">
        <f t="shared" si="42"/>
        <v>9746.871464393309</v>
      </c>
      <c r="J151" s="82">
        <f t="shared" si="42"/>
        <v>10224.787116258911</v>
      </c>
      <c r="K151" s="82">
        <f t="shared" si="42"/>
        <v>10702.702768124513</v>
      </c>
      <c r="L151" s="82">
        <f t="shared" si="42"/>
        <v>11180.618419990114</v>
      </c>
      <c r="M151" s="82">
        <f t="shared" si="42"/>
        <v>12249.108244452509</v>
      </c>
      <c r="N151" s="82">
        <f t="shared" si="42"/>
        <v>13857.554313579854</v>
      </c>
      <c r="O151" s="82">
        <f t="shared" si="42"/>
        <v>15587.656150870363</v>
      </c>
      <c r="P151" s="82">
        <f t="shared" si="42"/>
        <v>17415.033727160866</v>
      </c>
      <c r="Q151" s="82">
        <f t="shared" si="42"/>
        <v>19242.411303451372</v>
      </c>
      <c r="R151"/>
    </row>
    <row r="152" spans="1:18" s="81" customFormat="1" hidden="1" outlineLevel="1" x14ac:dyDescent="0.25">
      <c r="B152" s="69" t="s">
        <v>546</v>
      </c>
      <c r="C152" s="17">
        <f>SUM(CORPbs!D38:Q38)-SUM(D152:Q152)</f>
        <v>0</v>
      </c>
      <c r="D152" s="82">
        <f t="shared" ref="D152:Q152" si="43">SUM(D142,D147)</f>
        <v>133806.18999999994</v>
      </c>
      <c r="E152" s="82">
        <f t="shared" si="43"/>
        <v>100876.80900000001</v>
      </c>
      <c r="F152" s="82">
        <f t="shared" si="43"/>
        <v>72235.052000000025</v>
      </c>
      <c r="G152" s="82">
        <f t="shared" si="43"/>
        <v>44199.311000000016</v>
      </c>
      <c r="H152" s="82">
        <f t="shared" si="43"/>
        <v>18329.149588049084</v>
      </c>
      <c r="I152" s="82">
        <f t="shared" si="43"/>
        <v>11548.764324269592</v>
      </c>
      <c r="J152" s="82">
        <f t="shared" si="43"/>
        <v>4768.3790604901005</v>
      </c>
      <c r="K152" s="82">
        <f t="shared" si="43"/>
        <v>-2012.0062032893329</v>
      </c>
      <c r="L152" s="82">
        <f t="shared" si="43"/>
        <v>-8792.3914670687664</v>
      </c>
      <c r="M152" s="82">
        <f t="shared" si="43"/>
        <v>-36816.897522186671</v>
      </c>
      <c r="N152" s="82">
        <f t="shared" si="43"/>
        <v>-66536.537105712661</v>
      </c>
      <c r="O152" s="82">
        <f t="shared" si="43"/>
        <v>-97892.413580670196</v>
      </c>
      <c r="P152" s="82">
        <f t="shared" si="43"/>
        <v>-134640.29005562782</v>
      </c>
      <c r="Q152" s="82">
        <f t="shared" si="43"/>
        <v>-171387.98735498515</v>
      </c>
      <c r="R152"/>
    </row>
    <row r="153" spans="1:18" s="50" customFormat="1" hidden="1" outlineLevel="1" x14ac:dyDescent="0.25">
      <c r="A153" s="49"/>
      <c r="B153" s="49"/>
      <c r="C153" s="2"/>
      <c r="H153" s="51"/>
      <c r="M153" s="51"/>
      <c r="N153" s="51"/>
      <c r="O153" s="51"/>
      <c r="P153" s="51"/>
      <c r="Q153" s="51"/>
      <c r="R153"/>
    </row>
    <row r="154" spans="1:18" s="88" customFormat="1" collapsed="1" x14ac:dyDescent="0.25">
      <c r="A154" s="31" t="s">
        <v>54</v>
      </c>
      <c r="B154" s="31"/>
      <c r="C154" s="15">
        <f>SUM(D155:Q157)-SUM(D154:Q154)</f>
        <v>0</v>
      </c>
      <c r="D154" s="87">
        <f t="shared" ref="D154:Q154" si="44">SUM(D155:D157)</f>
        <v>794373.59323060035</v>
      </c>
      <c r="E154" s="87">
        <f t="shared" si="44"/>
        <v>647922.93610052019</v>
      </c>
      <c r="F154" s="87">
        <f t="shared" si="44"/>
        <v>588793.1304331905</v>
      </c>
      <c r="G154" s="87">
        <f t="shared" si="44"/>
        <v>688333.37114771223</v>
      </c>
      <c r="H154" s="87">
        <f t="shared" si="44"/>
        <v>636473.14335848251</v>
      </c>
      <c r="I154" s="87">
        <f t="shared" si="44"/>
        <v>617001.44921188336</v>
      </c>
      <c r="J154" s="87">
        <f t="shared" si="44"/>
        <v>616990.17549645435</v>
      </c>
      <c r="K154" s="87">
        <f t="shared" si="44"/>
        <v>616978.90178102558</v>
      </c>
      <c r="L154" s="87">
        <f t="shared" si="44"/>
        <v>616967.62806559657</v>
      </c>
      <c r="M154" s="87">
        <f t="shared" si="44"/>
        <v>648392.27286517806</v>
      </c>
      <c r="N154" s="87">
        <f t="shared" si="44"/>
        <v>684474.9114130768</v>
      </c>
      <c r="O154" s="87">
        <f t="shared" si="44"/>
        <v>703227.39818371832</v>
      </c>
      <c r="P154" s="87">
        <f t="shared" si="44"/>
        <v>702805.36622003547</v>
      </c>
      <c r="Q154" s="87">
        <f t="shared" si="44"/>
        <v>683755.49909378553</v>
      </c>
      <c r="R154"/>
    </row>
    <row r="155" spans="1:18" s="19" customFormat="1" hidden="1" outlineLevel="1" x14ac:dyDescent="0.25">
      <c r="B155" s="14" t="s">
        <v>544</v>
      </c>
      <c r="C155" s="17">
        <f>SUM(Biz1bs!D39:Q39)-SUM(D155:Q155)</f>
        <v>0</v>
      </c>
      <c r="D155" s="20">
        <f t="shared" ref="D155:Q155" si="45">SUM(D108,D150)</f>
        <v>278623.22872375749</v>
      </c>
      <c r="E155" s="20">
        <f t="shared" si="45"/>
        <v>186944.78261258226</v>
      </c>
      <c r="F155" s="20">
        <f t="shared" si="45"/>
        <v>175067.95930731346</v>
      </c>
      <c r="G155" s="20">
        <f t="shared" si="45"/>
        <v>308303.81888976705</v>
      </c>
      <c r="H155" s="20">
        <f t="shared" si="45"/>
        <v>345575.02176719118</v>
      </c>
      <c r="I155" s="20">
        <f t="shared" si="45"/>
        <v>332405.79723250598</v>
      </c>
      <c r="J155" s="20">
        <f t="shared" si="45"/>
        <v>338696.99312899093</v>
      </c>
      <c r="K155" s="20">
        <f t="shared" si="45"/>
        <v>344988.18902547588</v>
      </c>
      <c r="L155" s="20">
        <f t="shared" si="45"/>
        <v>351279.38492196082</v>
      </c>
      <c r="M155" s="20">
        <f t="shared" si="45"/>
        <v>406707.32260845916</v>
      </c>
      <c r="N155" s="20">
        <f t="shared" si="45"/>
        <v>469445.06353603367</v>
      </c>
      <c r="O155" s="20">
        <f t="shared" si="45"/>
        <v>516750.37673037121</v>
      </c>
      <c r="P155" s="20">
        <f t="shared" si="45"/>
        <v>550923.41243856144</v>
      </c>
      <c r="Q155" s="20">
        <f t="shared" si="45"/>
        <v>567132.13495039311</v>
      </c>
      <c r="R155"/>
    </row>
    <row r="156" spans="1:18" s="19" customFormat="1" hidden="1" outlineLevel="1" x14ac:dyDescent="0.25">
      <c r="B156" s="14" t="s">
        <v>545</v>
      </c>
      <c r="C156" s="17">
        <f>SUM(Biz2bs!D39:Q39)-SUM(D156:Q156)</f>
        <v>0</v>
      </c>
      <c r="D156" s="20">
        <f t="shared" ref="D156:Q156" si="46">SUM(D109,D151)</f>
        <v>53270.674506842901</v>
      </c>
      <c r="E156" s="20">
        <f t="shared" si="46"/>
        <v>32263.34448793796</v>
      </c>
      <c r="F156" s="20">
        <f t="shared" si="46"/>
        <v>31327.019125877032</v>
      </c>
      <c r="G156" s="20">
        <f t="shared" si="46"/>
        <v>26301.566257945175</v>
      </c>
      <c r="H156" s="20">
        <f t="shared" si="46"/>
        <v>35211.737624684873</v>
      </c>
      <c r="I156" s="20">
        <f t="shared" si="46"/>
        <v>35689.653276550467</v>
      </c>
      <c r="J156" s="20">
        <f t="shared" si="46"/>
        <v>36167.568928416062</v>
      </c>
      <c r="K156" s="20">
        <f t="shared" si="46"/>
        <v>36645.484580281671</v>
      </c>
      <c r="L156" s="20">
        <f t="shared" si="46"/>
        <v>37123.400232147265</v>
      </c>
      <c r="M156" s="20">
        <f t="shared" si="46"/>
        <v>40871.113654501889</v>
      </c>
      <c r="N156" s="20">
        <f t="shared" si="46"/>
        <v>43543.381365486879</v>
      </c>
      <c r="O156" s="20">
        <f t="shared" si="46"/>
        <v>46141.339037608312</v>
      </c>
      <c r="P156" s="20">
        <f t="shared" si="46"/>
        <v>48294.147840692851</v>
      </c>
      <c r="Q156" s="20">
        <f t="shared" si="46"/>
        <v>49783.255501968582</v>
      </c>
      <c r="R156"/>
    </row>
    <row r="157" spans="1:18" s="19" customFormat="1" hidden="1" outlineLevel="1" x14ac:dyDescent="0.25">
      <c r="B157" s="14" t="s">
        <v>546</v>
      </c>
      <c r="C157" s="17">
        <f>SUM(CORPbs!D39:Q39)-SUM(D157:Q157)</f>
        <v>0</v>
      </c>
      <c r="D157" s="20">
        <f t="shared" ref="D157:Q157" si="47">SUM(D110,D152)</f>
        <v>462479.68999999994</v>
      </c>
      <c r="E157" s="20">
        <f t="shared" si="47"/>
        <v>428714.80900000001</v>
      </c>
      <c r="F157" s="20">
        <f t="shared" si="47"/>
        <v>382398.152</v>
      </c>
      <c r="G157" s="20">
        <f t="shared" si="47"/>
        <v>353727.98600000003</v>
      </c>
      <c r="H157" s="20">
        <f t="shared" si="47"/>
        <v>255686.3839666064</v>
      </c>
      <c r="I157" s="20">
        <f t="shared" si="47"/>
        <v>248905.99870282691</v>
      </c>
      <c r="J157" s="20">
        <f t="shared" si="47"/>
        <v>242125.61343904742</v>
      </c>
      <c r="K157" s="20">
        <f t="shared" si="47"/>
        <v>235345.22817526798</v>
      </c>
      <c r="L157" s="20">
        <f t="shared" si="47"/>
        <v>228564.84291148855</v>
      </c>
      <c r="M157" s="20">
        <f t="shared" si="47"/>
        <v>200813.83660221705</v>
      </c>
      <c r="N157" s="20">
        <f t="shared" si="47"/>
        <v>171486.46651155621</v>
      </c>
      <c r="O157" s="20">
        <f t="shared" si="47"/>
        <v>140335.68241573879</v>
      </c>
      <c r="P157" s="20">
        <f t="shared" si="47"/>
        <v>103587.80594078117</v>
      </c>
      <c r="Q157" s="20">
        <f t="shared" si="47"/>
        <v>66840.108641423838</v>
      </c>
      <c r="R157"/>
    </row>
    <row r="158" spans="1:18" s="14" customFormat="1" hidden="1" outlineLevel="1" x14ac:dyDescent="0.25">
      <c r="C158" s="2"/>
      <c r="H158" s="31"/>
      <c r="M158" s="31"/>
      <c r="N158" s="31"/>
      <c r="O158" s="31"/>
      <c r="P158" s="31"/>
      <c r="Q158" s="31"/>
      <c r="R158"/>
    </row>
    <row r="159" spans="1:18" collapsed="1" x14ac:dyDescent="0.25"/>
    <row r="160" spans="1:18" x14ac:dyDescent="0.25">
      <c r="A160" t="s">
        <v>107</v>
      </c>
      <c r="C160" s="76">
        <f>SUM(D161:Q163)-SUM(D160:Q160)</f>
        <v>0</v>
      </c>
      <c r="D160" s="20">
        <f t="shared" ref="D160:H163" si="48">SUM(D5,D15,D20,D25,D60)-SUM(D77,D87)</f>
        <v>560128.72479555802</v>
      </c>
      <c r="E160" s="20">
        <f t="shared" si="48"/>
        <v>499647.18479555799</v>
      </c>
      <c r="F160" s="20">
        <f t="shared" si="48"/>
        <v>448236.3537955581</v>
      </c>
      <c r="G160" s="20">
        <f t="shared" si="48"/>
        <v>435705.7036430586</v>
      </c>
      <c r="H160" s="20">
        <f t="shared" si="48"/>
        <v>330663.55220620398</v>
      </c>
      <c r="I160" s="20"/>
      <c r="J160" s="20"/>
      <c r="K160" s="20"/>
      <c r="L160" s="20"/>
      <c r="M160" s="20">
        <f t="shared" ref="M160:Q163" si="49">SUM(M5,M15,M20,M25,M60)-SUM(M77,M87)</f>
        <v>266689.4801939071</v>
      </c>
      <c r="N160" s="20">
        <f t="shared" si="49"/>
        <v>271666.51863069285</v>
      </c>
      <c r="O160" s="20">
        <f t="shared" si="49"/>
        <v>277929.99705831986</v>
      </c>
      <c r="P160" s="20">
        <f t="shared" si="49"/>
        <v>281404.41656616289</v>
      </c>
      <c r="Q160" s="20">
        <f t="shared" si="49"/>
        <v>268931.44829060504</v>
      </c>
    </row>
    <row r="161" spans="1:18" hidden="1" outlineLevel="1" x14ac:dyDescent="0.25">
      <c r="B161" s="14" t="s">
        <v>544</v>
      </c>
      <c r="C161" s="543">
        <f>SUM(D161:Q161)-SUM(Biz1bs!D41:Q41)</f>
        <v>0</v>
      </c>
      <c r="D161" s="20">
        <f t="shared" si="48"/>
        <v>39502.0475080303</v>
      </c>
      <c r="E161" s="20">
        <f t="shared" si="48"/>
        <v>7809.8155080303113</v>
      </c>
      <c r="F161" s="20">
        <f t="shared" si="48"/>
        <v>-4614.8624919696886</v>
      </c>
      <c r="G161" s="20">
        <f t="shared" si="48"/>
        <v>13455.361355530826</v>
      </c>
      <c r="H161" s="20">
        <f t="shared" si="48"/>
        <v>2314.3418056272785</v>
      </c>
      <c r="I161" s="20"/>
      <c r="J161" s="20"/>
      <c r="K161" s="20"/>
      <c r="L161" s="20"/>
      <c r="M161" s="20">
        <f t="shared" si="49"/>
        <v>58230.164471641328</v>
      </c>
      <c r="N161" s="20">
        <f t="shared" si="49"/>
        <v>91318.396422825579</v>
      </c>
      <c r="O161" s="20">
        <f t="shared" si="49"/>
        <v>127207.64948811987</v>
      </c>
      <c r="P161" s="20">
        <f t="shared" si="49"/>
        <v>165602.56789462987</v>
      </c>
      <c r="Q161" s="20">
        <f t="shared" si="49"/>
        <v>188049.91934213886</v>
      </c>
    </row>
    <row r="162" spans="1:18" hidden="1" outlineLevel="1" x14ac:dyDescent="0.25">
      <c r="B162" s="14" t="s">
        <v>545</v>
      </c>
      <c r="C162" s="543">
        <f>SUM(D162:Q162)-SUM(Biz2bs!D41:Q41)</f>
        <v>0</v>
      </c>
      <c r="D162" s="20">
        <f t="shared" si="48"/>
        <v>-1735.5127124722858</v>
      </c>
      <c r="E162" s="20">
        <f t="shared" si="48"/>
        <v>2256.5602875277109</v>
      </c>
      <c r="F162" s="20">
        <f t="shared" si="48"/>
        <v>8667.1642875277175</v>
      </c>
      <c r="G162" s="20">
        <f t="shared" si="48"/>
        <v>5549.9262875277127</v>
      </c>
      <c r="H162" s="20">
        <f t="shared" si="48"/>
        <v>9268.9558125277181</v>
      </c>
      <c r="I162" s="20"/>
      <c r="J162" s="20"/>
      <c r="K162" s="20"/>
      <c r="L162" s="20"/>
      <c r="M162" s="20">
        <f t="shared" si="49"/>
        <v>12249.108244452516</v>
      </c>
      <c r="N162" s="20">
        <f t="shared" si="49"/>
        <v>13857.554313579854</v>
      </c>
      <c r="O162" s="20">
        <f t="shared" si="49"/>
        <v>15587.656150870363</v>
      </c>
      <c r="P162" s="20">
        <f t="shared" si="49"/>
        <v>17415.033727160862</v>
      </c>
      <c r="Q162" s="20">
        <f t="shared" si="49"/>
        <v>19242.411303451368</v>
      </c>
    </row>
    <row r="163" spans="1:18" hidden="1" outlineLevel="1" x14ac:dyDescent="0.25">
      <c r="B163" s="14" t="s">
        <v>546</v>
      </c>
      <c r="C163" s="543">
        <f>SUM(D163:Q163)-SUM(CORPbs!D41:Q41)</f>
        <v>0</v>
      </c>
      <c r="D163" s="20">
        <f t="shared" si="48"/>
        <v>522362.18999999994</v>
      </c>
      <c r="E163" s="20">
        <f t="shared" si="48"/>
        <v>489580.80900000001</v>
      </c>
      <c r="F163" s="20">
        <f t="shared" si="48"/>
        <v>444184.05200000003</v>
      </c>
      <c r="G163" s="20">
        <f t="shared" si="48"/>
        <v>416700.41600000003</v>
      </c>
      <c r="H163" s="20">
        <f t="shared" si="48"/>
        <v>319080.25458804902</v>
      </c>
      <c r="I163" s="20"/>
      <c r="J163" s="20"/>
      <c r="K163" s="20"/>
      <c r="L163" s="20"/>
      <c r="M163" s="20">
        <f t="shared" si="49"/>
        <v>196210.20747781332</v>
      </c>
      <c r="N163" s="20">
        <f t="shared" si="49"/>
        <v>166490.56789428735</v>
      </c>
      <c r="O163" s="20">
        <f t="shared" si="49"/>
        <v>135134.69141932976</v>
      </c>
      <c r="P163" s="20">
        <f t="shared" si="49"/>
        <v>98386.814944372178</v>
      </c>
      <c r="Q163" s="20">
        <f t="shared" si="49"/>
        <v>61639.117645014798</v>
      </c>
    </row>
    <row r="164" spans="1:18" hidden="1" outlineLevel="1" x14ac:dyDescent="0.25">
      <c r="C164" s="543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1:18" collapsed="1" x14ac:dyDescent="0.25">
      <c r="C165" s="543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1:18" s="449" customFormat="1" ht="9" collapsed="1" x14ac:dyDescent="0.15">
      <c r="A166" s="446" t="s">
        <v>55</v>
      </c>
      <c r="C166" s="15">
        <f>SUM(D167:Q169)-SUM(D166:Q166)</f>
        <v>0</v>
      </c>
      <c r="D166" s="443">
        <f t="shared" ref="D166:Q166" si="50">D65-D154</f>
        <v>67724</v>
      </c>
      <c r="E166" s="443">
        <f t="shared" si="50"/>
        <v>67724</v>
      </c>
      <c r="F166" s="443">
        <f t="shared" si="50"/>
        <v>67724</v>
      </c>
      <c r="G166" s="443">
        <f t="shared" si="50"/>
        <v>67724</v>
      </c>
      <c r="H166" s="443">
        <f t="shared" si="50"/>
        <v>67723.999999999884</v>
      </c>
      <c r="I166" s="443">
        <f t="shared" si="50"/>
        <v>68971.529533165274</v>
      </c>
      <c r="J166" s="443">
        <f t="shared" si="50"/>
        <v>68971.529533165274</v>
      </c>
      <c r="K166" s="443">
        <f t="shared" si="50"/>
        <v>68971.529533165158</v>
      </c>
      <c r="L166" s="443">
        <f t="shared" si="50"/>
        <v>68971.529533165274</v>
      </c>
      <c r="M166" s="443">
        <f t="shared" si="50"/>
        <v>-3005.3437368655577</v>
      </c>
      <c r="N166" s="443">
        <f t="shared" si="50"/>
        <v>-2582.9273302836809</v>
      </c>
      <c r="O166" s="443">
        <f t="shared" si="50"/>
        <v>-3148.1838078037836</v>
      </c>
      <c r="P166" s="443">
        <f t="shared" si="50"/>
        <v>-2396.5577549138106</v>
      </c>
      <c r="Q166" s="443">
        <f t="shared" si="50"/>
        <v>-2441.089401699719</v>
      </c>
      <c r="R166" s="450"/>
    </row>
    <row r="167" spans="1:18" s="449" customFormat="1" ht="9" hidden="1" outlineLevel="1" x14ac:dyDescent="0.15">
      <c r="B167" s="446" t="s">
        <v>544</v>
      </c>
      <c r="C167" s="17">
        <f>SUM(Biz1bs!D17:Q17)-SUM(Biz1bs!D39:Q39)-SUM(D167:Q167)</f>
        <v>-7.5669959187507629E-10</v>
      </c>
      <c r="D167" s="443">
        <f t="shared" ref="D167:Q167" si="51">D66-D155</f>
        <v>0</v>
      </c>
      <c r="E167" s="443">
        <f t="shared" si="51"/>
        <v>0</v>
      </c>
      <c r="F167" s="443">
        <f t="shared" si="51"/>
        <v>0</v>
      </c>
      <c r="G167" s="443">
        <f t="shared" si="51"/>
        <v>0</v>
      </c>
      <c r="H167" s="443">
        <f t="shared" si="51"/>
        <v>0</v>
      </c>
      <c r="I167" s="443">
        <f t="shared" si="51"/>
        <v>1247.5295331652742</v>
      </c>
      <c r="J167" s="443">
        <f t="shared" si="51"/>
        <v>1247.529533165216</v>
      </c>
      <c r="K167" s="443">
        <f t="shared" si="51"/>
        <v>1247.5295331652742</v>
      </c>
      <c r="L167" s="443">
        <f t="shared" si="51"/>
        <v>1247.5295331652742</v>
      </c>
      <c r="M167" s="443">
        <f t="shared" si="51"/>
        <v>-3005.3437368655577</v>
      </c>
      <c r="N167" s="443">
        <f t="shared" si="51"/>
        <v>-2582.9273302836227</v>
      </c>
      <c r="O167" s="443">
        <f t="shared" si="51"/>
        <v>-3148.1838078037254</v>
      </c>
      <c r="P167" s="443">
        <f t="shared" si="51"/>
        <v>-2396.5577549138106</v>
      </c>
      <c r="Q167" s="443">
        <f t="shared" si="51"/>
        <v>-2441.0894016996026</v>
      </c>
      <c r="R167" s="450"/>
    </row>
    <row r="168" spans="1:18" s="449" customFormat="1" ht="9" hidden="1" outlineLevel="1" x14ac:dyDescent="0.15">
      <c r="B168" s="446" t="s">
        <v>545</v>
      </c>
      <c r="C168" s="17">
        <f>SUM(Biz2bs!D17:Q17)-SUM(Biz2bs!D39:Q39)-SUM(D168:Q168)</f>
        <v>0</v>
      </c>
      <c r="D168" s="443">
        <f t="shared" ref="D168:Q168" si="52">D67-D156</f>
        <v>0</v>
      </c>
      <c r="E168" s="443">
        <f t="shared" si="52"/>
        <v>0</v>
      </c>
      <c r="F168" s="443">
        <f t="shared" si="52"/>
        <v>0</v>
      </c>
      <c r="G168" s="443">
        <f t="shared" si="52"/>
        <v>0</v>
      </c>
      <c r="H168" s="443">
        <f t="shared" si="52"/>
        <v>0</v>
      </c>
      <c r="I168" s="443">
        <f t="shared" si="52"/>
        <v>0</v>
      </c>
      <c r="J168" s="443">
        <f t="shared" si="52"/>
        <v>0</v>
      </c>
      <c r="K168" s="443">
        <f t="shared" si="52"/>
        <v>0</v>
      </c>
      <c r="L168" s="443">
        <f t="shared" si="52"/>
        <v>0</v>
      </c>
      <c r="M168" s="443">
        <f t="shared" si="52"/>
        <v>0</v>
      </c>
      <c r="N168" s="443">
        <f t="shared" si="52"/>
        <v>0</v>
      </c>
      <c r="O168" s="443">
        <f t="shared" si="52"/>
        <v>0</v>
      </c>
      <c r="P168" s="443">
        <f t="shared" si="52"/>
        <v>0</v>
      </c>
      <c r="Q168" s="443">
        <f t="shared" si="52"/>
        <v>0</v>
      </c>
      <c r="R168" s="450"/>
    </row>
    <row r="169" spans="1:18" s="449" customFormat="1" ht="9" hidden="1" outlineLevel="1" x14ac:dyDescent="0.15">
      <c r="B169" s="446" t="s">
        <v>546</v>
      </c>
      <c r="C169" s="17">
        <f>SUM(CORPbs!D17:Q17)-SUM(CORPbs!D39:Q39)-SUM(D169:Q169)</f>
        <v>0</v>
      </c>
      <c r="D169" s="443">
        <f t="shared" ref="D169:Q169" si="53">D68-D157</f>
        <v>67724</v>
      </c>
      <c r="E169" s="443">
        <f t="shared" si="53"/>
        <v>67724</v>
      </c>
      <c r="F169" s="443">
        <f t="shared" si="53"/>
        <v>67724</v>
      </c>
      <c r="G169" s="443">
        <f t="shared" si="53"/>
        <v>67724</v>
      </c>
      <c r="H169" s="443">
        <f t="shared" si="53"/>
        <v>67723.999999999942</v>
      </c>
      <c r="I169" s="443">
        <f t="shared" si="53"/>
        <v>67723.999999999942</v>
      </c>
      <c r="J169" s="443">
        <f t="shared" si="53"/>
        <v>67723.999999999942</v>
      </c>
      <c r="K169" s="443">
        <f t="shared" si="53"/>
        <v>67723.999999999942</v>
      </c>
      <c r="L169" s="443">
        <f t="shared" si="53"/>
        <v>67723.999999999942</v>
      </c>
      <c r="M169" s="443">
        <f t="shared" si="53"/>
        <v>0</v>
      </c>
      <c r="N169" s="443">
        <f t="shared" si="53"/>
        <v>0</v>
      </c>
      <c r="O169" s="443">
        <f t="shared" si="53"/>
        <v>0</v>
      </c>
      <c r="P169" s="443">
        <f t="shared" si="53"/>
        <v>0</v>
      </c>
      <c r="Q169" s="443">
        <f t="shared" si="53"/>
        <v>0</v>
      </c>
      <c r="R169" s="450"/>
    </row>
    <row r="170" spans="1:18" collapsed="1" x14ac:dyDescent="0.25"/>
    <row r="173" spans="1:18" x14ac:dyDescent="0.25">
      <c r="F173" s="451"/>
    </row>
  </sheetData>
  <sheetProtection algorithmName="SHA-512" hashValue="fjC52b7GFwnhtsSvlSB++WzdASSlTG9LBP5KDMh6UECs5kNPWtudXyiyrJAAGNun6IArHg6vNZvtG6R2HgRzPg==" saltValue="eGmDM/oJgXxhvEJtdUk6Lg==" spinCount="100000" sheet="1" objects="1" scenarios="1"/>
  <conditionalFormatting sqref="C166:Q169">
    <cfRule type="cellIs" dxfId="13" priority="3" operator="notBetween">
      <formula>-1</formula>
      <formula>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R196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outlineLevelRow="1" x14ac:dyDescent="0.25"/>
  <cols>
    <col min="1" max="1" width="6.140625" customWidth="1"/>
    <col min="2" max="2" width="40.28515625" bestFit="1" customWidth="1"/>
    <col min="3" max="3" width="2.28515625" style="2" bestFit="1" customWidth="1"/>
    <col min="4" max="7" width="8.85546875" bestFit="1" customWidth="1"/>
    <col min="8" max="8" width="8.85546875" style="36" bestFit="1" customWidth="1"/>
    <col min="9" max="9" width="9.140625" bestFit="1" customWidth="1"/>
    <col min="10" max="12" width="8.85546875" bestFit="1" customWidth="1"/>
    <col min="13" max="13" width="8.85546875" style="36" bestFit="1" customWidth="1"/>
    <col min="14" max="14" width="9.85546875" style="36" bestFit="1" customWidth="1"/>
    <col min="15" max="17" width="10" style="36" bestFit="1" customWidth="1"/>
    <col min="18" max="18" width="10" bestFit="1" customWidth="1"/>
  </cols>
  <sheetData>
    <row r="1" spans="1:18" x14ac:dyDescent="0.25">
      <c r="A1" s="31" t="s">
        <v>536</v>
      </c>
      <c r="H1"/>
      <c r="M1"/>
      <c r="N1"/>
      <c r="O1"/>
      <c r="P1"/>
      <c r="Q1"/>
    </row>
    <row r="2" spans="1:18" ht="15.75" thickBot="1" x14ac:dyDescent="0.3">
      <c r="A2" s="31" t="s">
        <v>99</v>
      </c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</row>
    <row r="3" spans="1:18" ht="15.75" thickBot="1" x14ac:dyDescent="0.3">
      <c r="C3" s="6" t="s">
        <v>1</v>
      </c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4" spans="1:18" s="37" customFormat="1" x14ac:dyDescent="0.25">
      <c r="A4" s="1" t="s">
        <v>56</v>
      </c>
      <c r="C4" s="91"/>
      <c r="D4" s="92"/>
      <c r="E4" s="92"/>
      <c r="F4" s="92"/>
      <c r="G4" s="93"/>
      <c r="H4" s="94"/>
      <c r="I4" s="95"/>
      <c r="J4" s="95"/>
      <c r="K4" s="95"/>
      <c r="L4" s="95"/>
      <c r="M4" s="94"/>
      <c r="N4" s="94"/>
      <c r="O4" s="94"/>
      <c r="P4" s="94"/>
      <c r="Q4" s="94"/>
      <c r="R4"/>
    </row>
    <row r="5" spans="1:18" s="37" customFormat="1" x14ac:dyDescent="0.25">
      <c r="B5" s="37" t="s">
        <v>57</v>
      </c>
      <c r="C5" s="100">
        <f>SUM(D5:Q5)-SUM(D6:Q8)</f>
        <v>0</v>
      </c>
      <c r="D5" s="101">
        <f t="shared" ref="D5:Q5" si="0">SUM(D6:D8)</f>
        <v>-67132.880999999994</v>
      </c>
      <c r="E5" s="101">
        <f t="shared" si="0"/>
        <v>-129046.76199999999</v>
      </c>
      <c r="F5" s="101">
        <f t="shared" si="0"/>
        <v>-59159.503999999994</v>
      </c>
      <c r="G5" s="101">
        <f t="shared" si="0"/>
        <v>-29408.904152499454</v>
      </c>
      <c r="H5" s="101">
        <f t="shared" si="0"/>
        <v>-18550.681119697234</v>
      </c>
      <c r="I5" s="101">
        <f t="shared" si="0"/>
        <v>-6682.8885958601331</v>
      </c>
      <c r="J5" s="101">
        <f t="shared" si="0"/>
        <v>-6682.8885958601331</v>
      </c>
      <c r="K5" s="101">
        <f t="shared" si="0"/>
        <v>-6682.8885958601331</v>
      </c>
      <c r="L5" s="101">
        <f t="shared" si="0"/>
        <v>-6682.8885958601331</v>
      </c>
      <c r="M5" s="101">
        <f t="shared" si="0"/>
        <v>-20744.127935440531</v>
      </c>
      <c r="N5" s="101">
        <f t="shared" si="0"/>
        <v>-17591.724437190693</v>
      </c>
      <c r="O5" s="101">
        <f t="shared" si="0"/>
        <v>-17614.94782557894</v>
      </c>
      <c r="P5" s="101">
        <f t="shared" si="0"/>
        <v>-18756.728413141867</v>
      </c>
      <c r="Q5" s="101">
        <f t="shared" si="0"/>
        <v>-29425.701845475418</v>
      </c>
      <c r="R5"/>
    </row>
    <row r="6" spans="1:18" s="37" customFormat="1" hidden="1" outlineLevel="1" x14ac:dyDescent="0.25">
      <c r="B6" s="37" t="s">
        <v>544</v>
      </c>
      <c r="C6" s="102">
        <f>SUM(Biz1cf!D5:Q5)-SUM(D6:Q6)</f>
        <v>0</v>
      </c>
      <c r="D6" s="103">
        <f>Biz1cf!D5</f>
        <v>-22884.607000000007</v>
      </c>
      <c r="E6" s="103">
        <f>Biz1cf!E5</f>
        <v>-41304.092000000004</v>
      </c>
      <c r="F6" s="103">
        <f>Biz1cf!F5</f>
        <v>-28495.070999999996</v>
      </c>
      <c r="G6" s="103">
        <f>Biz1cf!G5</f>
        <v>552.36684750054155</v>
      </c>
      <c r="H6" s="103">
        <f>Biz1cf!H5</f>
        <v>12669.787767253782</v>
      </c>
      <c r="I6" s="103">
        <f>Biz1cf!I5</f>
        <v>3366.3756535537318</v>
      </c>
      <c r="J6" s="103">
        <f>Biz1cf!J5</f>
        <v>3366.3756535537318</v>
      </c>
      <c r="K6" s="103">
        <f>Biz1cf!K5</f>
        <v>3366.3756535537318</v>
      </c>
      <c r="L6" s="103">
        <f>Biz1cf!L5</f>
        <v>3366.3756535537318</v>
      </c>
      <c r="M6" s="103">
        <f>Biz1cf!M5</f>
        <v>14211.101845214927</v>
      </c>
      <c r="N6" s="103">
        <f>Biz1cf!N5</f>
        <v>19083.037077207915</v>
      </c>
      <c r="O6" s="103">
        <f>Biz1cf!O5</f>
        <v>20138.144412088128</v>
      </c>
      <c r="P6" s="103">
        <f>Biz1cf!P5</f>
        <v>18899.0880855252</v>
      </c>
      <c r="Q6" s="103">
        <f>Biz1cf!Q5</f>
        <v>8230.1146531916493</v>
      </c>
      <c r="R6"/>
    </row>
    <row r="7" spans="1:18" s="37" customFormat="1" hidden="1" outlineLevel="1" x14ac:dyDescent="0.25">
      <c r="B7" s="37" t="s">
        <v>545</v>
      </c>
      <c r="C7" s="102">
        <f>SUM(Biz2cf!D5:Q5)-SUM(D7:Q7)</f>
        <v>0</v>
      </c>
      <c r="D7" s="103">
        <f>Biz2cf!D5</f>
        <v>-6254.9640000000018</v>
      </c>
      <c r="E7" s="103">
        <f>Biz2cf!E5</f>
        <v>1243.3009999999995</v>
      </c>
      <c r="F7" s="103">
        <f>Biz2cf!F5</f>
        <v>974.42100000000084</v>
      </c>
      <c r="G7" s="103">
        <f>Biz2cf!G5</f>
        <v>-455.68100000000072</v>
      </c>
      <c r="H7" s="103">
        <f>Biz2cf!H5</f>
        <v>-947.97047499999951</v>
      </c>
      <c r="I7" s="103">
        <f>Biz2cf!I5</f>
        <v>67.91565186559923</v>
      </c>
      <c r="J7" s="103">
        <f>Biz2cf!J5</f>
        <v>67.91565186559923</v>
      </c>
      <c r="K7" s="103">
        <f>Biz2cf!K5</f>
        <v>67.91565186559923</v>
      </c>
      <c r="L7" s="103">
        <f>Biz2cf!L5</f>
        <v>67.91565186559923</v>
      </c>
      <c r="M7" s="103">
        <f>Biz2cf!M5</f>
        <v>563.48982446239688</v>
      </c>
      <c r="N7" s="103">
        <f>Biz2cf!N5</f>
        <v>468.4460691273456</v>
      </c>
      <c r="O7" s="103">
        <f>Biz2cf!O5</f>
        <v>135.10183729050641</v>
      </c>
      <c r="P7" s="103">
        <f>Biz2cf!P5</f>
        <v>232.37757629050645</v>
      </c>
      <c r="Q7" s="103">
        <f>Biz2cf!Q5</f>
        <v>232.37757629050645</v>
      </c>
      <c r="R7"/>
    </row>
    <row r="8" spans="1:18" s="37" customFormat="1" hidden="1" outlineLevel="1" x14ac:dyDescent="0.25">
      <c r="B8" s="37" t="s">
        <v>546</v>
      </c>
      <c r="C8" s="102">
        <f>SUM(CORPcf!D5:Q5)-SUM(D8:Q8)</f>
        <v>0</v>
      </c>
      <c r="D8" s="103">
        <f>CORPcf!D5</f>
        <v>-37993.30999999999</v>
      </c>
      <c r="E8" s="103">
        <f>CORPcf!E5</f>
        <v>-88985.97099999999</v>
      </c>
      <c r="F8" s="103">
        <f>CORPcf!F5</f>
        <v>-31638.853999999999</v>
      </c>
      <c r="G8" s="103">
        <f>CORPcf!G5</f>
        <v>-29505.589999999993</v>
      </c>
      <c r="H8" s="103">
        <f>CORPcf!H5</f>
        <v>-30272.498411951015</v>
      </c>
      <c r="I8" s="103">
        <f>CORPcf!I5</f>
        <v>-10117.179901279464</v>
      </c>
      <c r="J8" s="103">
        <f>CORPcf!J5</f>
        <v>-10117.179901279464</v>
      </c>
      <c r="K8" s="103">
        <f>CORPcf!K5</f>
        <v>-10117.179901279464</v>
      </c>
      <c r="L8" s="103">
        <f>CORPcf!L5</f>
        <v>-10117.179901279464</v>
      </c>
      <c r="M8" s="103">
        <f>CORPcf!M5</f>
        <v>-35518.719605117854</v>
      </c>
      <c r="N8" s="103">
        <f>CORPcf!N5</f>
        <v>-37143.207583525953</v>
      </c>
      <c r="O8" s="103">
        <f>CORPcf!O5</f>
        <v>-37888.194074957573</v>
      </c>
      <c r="P8" s="103">
        <f>CORPcf!P5</f>
        <v>-37888.194074957573</v>
      </c>
      <c r="Q8" s="103">
        <f>CORPcf!Q5</f>
        <v>-37888.194074957573</v>
      </c>
      <c r="R8"/>
    </row>
    <row r="9" spans="1:18" s="97" customFormat="1" hidden="1" outlineLevel="1" x14ac:dyDescent="0.25">
      <c r="C9" s="91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/>
    </row>
    <row r="10" spans="1:18" s="37" customFormat="1" collapsed="1" x14ac:dyDescent="0.25">
      <c r="B10" s="37" t="s">
        <v>42</v>
      </c>
      <c r="C10" s="100">
        <f>SUM(D11:Q13)-SUM(D10:Q10)</f>
        <v>0</v>
      </c>
      <c r="D10" s="101">
        <f t="shared" ref="D10:Q10" si="1">SUM(D11:D13)</f>
        <v>0</v>
      </c>
      <c r="E10" s="101">
        <f t="shared" si="1"/>
        <v>0</v>
      </c>
      <c r="F10" s="101">
        <f t="shared" si="1"/>
        <v>0</v>
      </c>
      <c r="G10" s="101">
        <f t="shared" si="1"/>
        <v>0</v>
      </c>
      <c r="H10" s="101">
        <f t="shared" si="1"/>
        <v>0</v>
      </c>
      <c r="I10" s="101">
        <f t="shared" si="1"/>
        <v>0</v>
      </c>
      <c r="J10" s="101">
        <f t="shared" si="1"/>
        <v>0</v>
      </c>
      <c r="K10" s="101">
        <f t="shared" si="1"/>
        <v>0</v>
      </c>
      <c r="L10" s="101">
        <f t="shared" si="1"/>
        <v>0</v>
      </c>
      <c r="M10" s="101">
        <f t="shared" si="1"/>
        <v>0</v>
      </c>
      <c r="N10" s="101">
        <f t="shared" si="1"/>
        <v>0</v>
      </c>
      <c r="O10" s="101">
        <f t="shared" si="1"/>
        <v>0</v>
      </c>
      <c r="P10" s="101">
        <f t="shared" si="1"/>
        <v>0</v>
      </c>
      <c r="Q10" s="101">
        <f t="shared" si="1"/>
        <v>0</v>
      </c>
      <c r="R10"/>
    </row>
    <row r="11" spans="1:18" s="37" customFormat="1" hidden="1" outlineLevel="1" x14ac:dyDescent="0.25">
      <c r="B11" s="37" t="s">
        <v>544</v>
      </c>
      <c r="C11" s="102">
        <f>SUM(Biz1cf!D6:Q6)-SUM(D11:Q11)</f>
        <v>0</v>
      </c>
      <c r="D11" s="103">
        <f>Biz1cf!D6</f>
        <v>0</v>
      </c>
      <c r="E11" s="103">
        <f>Biz1cf!E6</f>
        <v>0</v>
      </c>
      <c r="F11" s="103">
        <f>Biz1cf!F6</f>
        <v>0</v>
      </c>
      <c r="G11" s="103">
        <f>Biz1cf!G6</f>
        <v>0</v>
      </c>
      <c r="H11" s="103">
        <f>Biz1cf!H6</f>
        <v>0</v>
      </c>
      <c r="I11" s="103">
        <f>Biz1cf!I6</f>
        <v>0</v>
      </c>
      <c r="J11" s="103">
        <f>Biz1cf!J6</f>
        <v>0</v>
      </c>
      <c r="K11" s="103">
        <f>Biz1cf!K6</f>
        <v>0</v>
      </c>
      <c r="L11" s="103">
        <f>Biz1cf!L6</f>
        <v>0</v>
      </c>
      <c r="M11" s="103">
        <f>Biz1cf!M6</f>
        <v>0</v>
      </c>
      <c r="N11" s="103">
        <f>Biz1cf!N6</f>
        <v>0</v>
      </c>
      <c r="O11" s="103">
        <f>Biz1cf!O6</f>
        <v>0</v>
      </c>
      <c r="P11" s="103">
        <f>Biz1cf!P6</f>
        <v>0</v>
      </c>
      <c r="Q11" s="103">
        <f>Biz1cf!Q6</f>
        <v>0</v>
      </c>
      <c r="R11"/>
    </row>
    <row r="12" spans="1:18" s="37" customFormat="1" hidden="1" outlineLevel="1" x14ac:dyDescent="0.25">
      <c r="B12" s="37" t="s">
        <v>545</v>
      </c>
      <c r="C12" s="102">
        <f>SUM(Biz2cf!D6:Q6)-SUM(D12:Q12)</f>
        <v>0</v>
      </c>
      <c r="D12" s="103">
        <f>Biz2cf!D6</f>
        <v>0</v>
      </c>
      <c r="E12" s="103">
        <f>Biz2cf!E6</f>
        <v>0</v>
      </c>
      <c r="F12" s="103">
        <f>Biz2cf!F6</f>
        <v>0</v>
      </c>
      <c r="G12" s="103">
        <f>Biz2cf!G6</f>
        <v>0</v>
      </c>
      <c r="H12" s="103">
        <f>Biz2cf!H6</f>
        <v>0</v>
      </c>
      <c r="I12" s="103">
        <f>Biz2cf!I6</f>
        <v>0</v>
      </c>
      <c r="J12" s="103">
        <f>Biz2cf!J6</f>
        <v>0</v>
      </c>
      <c r="K12" s="103">
        <f>Biz2cf!K6</f>
        <v>0</v>
      </c>
      <c r="L12" s="103">
        <f>Biz2cf!L6</f>
        <v>0</v>
      </c>
      <c r="M12" s="103">
        <f>Biz2cf!M6</f>
        <v>0</v>
      </c>
      <c r="N12" s="103">
        <f>Biz2cf!N6</f>
        <v>0</v>
      </c>
      <c r="O12" s="103">
        <f>Biz2cf!O6</f>
        <v>0</v>
      </c>
      <c r="P12" s="103">
        <f>Biz2cf!P6</f>
        <v>0</v>
      </c>
      <c r="Q12" s="103">
        <f>Biz2cf!Q6</f>
        <v>0</v>
      </c>
      <c r="R12"/>
    </row>
    <row r="13" spans="1:18" s="37" customFormat="1" hidden="1" outlineLevel="1" x14ac:dyDescent="0.25">
      <c r="B13" s="37" t="s">
        <v>546</v>
      </c>
      <c r="C13" s="102">
        <f>SUM(CORPcf!D6:Q6)-SUM(D13:Q13)</f>
        <v>0</v>
      </c>
      <c r="D13" s="103">
        <f>CORPcf!D6</f>
        <v>0</v>
      </c>
      <c r="E13" s="103">
        <f>CORPcf!E6</f>
        <v>0</v>
      </c>
      <c r="F13" s="103">
        <f>CORPcf!F6</f>
        <v>0</v>
      </c>
      <c r="G13" s="103">
        <f>CORPcf!G6</f>
        <v>0</v>
      </c>
      <c r="H13" s="103">
        <f>CORPcf!H6</f>
        <v>0</v>
      </c>
      <c r="I13" s="103">
        <f>CORPcf!I6</f>
        <v>0</v>
      </c>
      <c r="J13" s="103">
        <f>CORPcf!J6</f>
        <v>0</v>
      </c>
      <c r="K13" s="103">
        <f>CORPcf!K6</f>
        <v>0</v>
      </c>
      <c r="L13" s="103">
        <f>CORPcf!L6</f>
        <v>0</v>
      </c>
      <c r="M13" s="103">
        <f>CORPcf!M6</f>
        <v>0</v>
      </c>
      <c r="N13" s="103">
        <f>CORPcf!N6</f>
        <v>0</v>
      </c>
      <c r="O13" s="103">
        <f>CORPcf!O6</f>
        <v>0</v>
      </c>
      <c r="P13" s="103">
        <f>CORPcf!P6</f>
        <v>0</v>
      </c>
      <c r="Q13" s="103">
        <f>CORPcf!Q6</f>
        <v>0</v>
      </c>
      <c r="R13"/>
    </row>
    <row r="14" spans="1:18" s="97" customFormat="1" hidden="1" outlineLevel="1" x14ac:dyDescent="0.25">
      <c r="B14" s="37"/>
      <c r="C14" s="91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/>
    </row>
    <row r="15" spans="1:18" s="37" customFormat="1" collapsed="1" x14ac:dyDescent="0.25">
      <c r="B15" s="37" t="s">
        <v>58</v>
      </c>
      <c r="C15" s="100">
        <f>SUM(D16:Q18)-SUM(D15:Q15)</f>
        <v>0</v>
      </c>
      <c r="D15" s="101">
        <f t="shared" ref="D15:Q15" si="2">SUM(D16:D18)</f>
        <v>11934.684999999999</v>
      </c>
      <c r="E15" s="101">
        <f t="shared" si="2"/>
        <v>13014.693000000001</v>
      </c>
      <c r="F15" s="101">
        <f t="shared" si="2"/>
        <v>13123.322999999999</v>
      </c>
      <c r="G15" s="101">
        <f t="shared" si="2"/>
        <v>12621.662</v>
      </c>
      <c r="H15" s="101">
        <f t="shared" si="2"/>
        <v>13504</v>
      </c>
      <c r="I15" s="101">
        <f t="shared" si="2"/>
        <v>5687.5</v>
      </c>
      <c r="J15" s="101">
        <f t="shared" si="2"/>
        <v>5687.5</v>
      </c>
      <c r="K15" s="101">
        <f t="shared" si="2"/>
        <v>5687.5</v>
      </c>
      <c r="L15" s="101">
        <f t="shared" si="2"/>
        <v>5687.5</v>
      </c>
      <c r="M15" s="101">
        <f t="shared" si="2"/>
        <v>14500</v>
      </c>
      <c r="N15" s="101">
        <f t="shared" si="2"/>
        <v>14750</v>
      </c>
      <c r="O15" s="101">
        <f t="shared" si="2"/>
        <v>14750</v>
      </c>
      <c r="P15" s="101">
        <f t="shared" si="2"/>
        <v>14750</v>
      </c>
      <c r="Q15" s="101">
        <f t="shared" si="2"/>
        <v>14750</v>
      </c>
      <c r="R15"/>
    </row>
    <row r="16" spans="1:18" s="37" customFormat="1" hidden="1" outlineLevel="1" x14ac:dyDescent="0.25">
      <c r="B16" s="37" t="s">
        <v>544</v>
      </c>
      <c r="C16" s="102">
        <f>SUM(Biz1cf!D7:Q7)-SUM(D16:Q16)</f>
        <v>0</v>
      </c>
      <c r="D16" s="103">
        <f>Biz1cf!D7</f>
        <v>8434.7849999999999</v>
      </c>
      <c r="E16" s="103">
        <f>Biz1cf!E7</f>
        <v>9556.43</v>
      </c>
      <c r="F16" s="103">
        <f>Biz1cf!F7</f>
        <v>9151.1989999999987</v>
      </c>
      <c r="G16" s="103">
        <f>Biz1cf!G7</f>
        <v>8360.6229999999996</v>
      </c>
      <c r="H16" s="103">
        <f>Biz1cf!H7</f>
        <v>8800</v>
      </c>
      <c r="I16" s="103">
        <f>Biz1cf!I7</f>
        <v>2437.5</v>
      </c>
      <c r="J16" s="103">
        <f>Biz1cf!J7</f>
        <v>2437.5</v>
      </c>
      <c r="K16" s="103">
        <f>Biz1cf!K7</f>
        <v>2437.5</v>
      </c>
      <c r="L16" s="103">
        <f>Biz1cf!L7</f>
        <v>2437.5</v>
      </c>
      <c r="M16" s="103">
        <f>Biz1cf!M7</f>
        <v>9750</v>
      </c>
      <c r="N16" s="103">
        <f>Biz1cf!N7</f>
        <v>10250</v>
      </c>
      <c r="O16" s="103">
        <f>Biz1cf!O7</f>
        <v>10500</v>
      </c>
      <c r="P16" s="103">
        <f>Biz1cf!P7</f>
        <v>10500</v>
      </c>
      <c r="Q16" s="103">
        <f>Biz1cf!Q7</f>
        <v>10500</v>
      </c>
      <c r="R16"/>
    </row>
    <row r="17" spans="2:18" s="37" customFormat="1" hidden="1" outlineLevel="1" x14ac:dyDescent="0.25">
      <c r="B17" s="37" t="s">
        <v>545</v>
      </c>
      <c r="C17" s="102">
        <f>SUM(Biz2cf!D7:Q7)-SUM(D17:Q17)</f>
        <v>0</v>
      </c>
      <c r="D17" s="103">
        <f>Biz2cf!D7</f>
        <v>2831.9</v>
      </c>
      <c r="E17" s="103">
        <f>Biz2cf!E7</f>
        <v>1914.4680000000001</v>
      </c>
      <c r="F17" s="103">
        <f>Biz2cf!F7</f>
        <v>1909.3019999999999</v>
      </c>
      <c r="G17" s="103">
        <f>Biz2cf!G7</f>
        <v>1582.761</v>
      </c>
      <c r="H17" s="103">
        <f>Biz2cf!H7</f>
        <v>1798</v>
      </c>
      <c r="I17" s="103">
        <f>Biz2cf!I7</f>
        <v>500</v>
      </c>
      <c r="J17" s="103">
        <f>Biz2cf!J7</f>
        <v>500</v>
      </c>
      <c r="K17" s="103">
        <f>Biz2cf!K7</f>
        <v>500</v>
      </c>
      <c r="L17" s="103">
        <f>Biz2cf!L7</f>
        <v>500</v>
      </c>
      <c r="M17" s="103">
        <f>Biz2cf!M7</f>
        <v>2000</v>
      </c>
      <c r="N17" s="103">
        <f>Biz2cf!N7</f>
        <v>2000</v>
      </c>
      <c r="O17" s="103">
        <f>Biz2cf!O7</f>
        <v>2250</v>
      </c>
      <c r="P17" s="103">
        <f>Biz2cf!P7</f>
        <v>2250</v>
      </c>
      <c r="Q17" s="103">
        <f>Biz2cf!Q7</f>
        <v>2250</v>
      </c>
      <c r="R17"/>
    </row>
    <row r="18" spans="2:18" s="37" customFormat="1" hidden="1" outlineLevel="1" x14ac:dyDescent="0.25">
      <c r="B18" s="37" t="s">
        <v>546</v>
      </c>
      <c r="C18" s="102">
        <f>SUM(CORPcf!D7:Q7)-SUM(D18:Q18)</f>
        <v>0</v>
      </c>
      <c r="D18" s="103">
        <f>CORPcf!D7</f>
        <v>668</v>
      </c>
      <c r="E18" s="103">
        <f>CORPcf!E7</f>
        <v>1543.7950000000001</v>
      </c>
      <c r="F18" s="103">
        <f>CORPcf!F7</f>
        <v>2062.8220000000001</v>
      </c>
      <c r="G18" s="103">
        <f>CORPcf!G7</f>
        <v>2678.2780000000002</v>
      </c>
      <c r="H18" s="103">
        <f>CORPcf!H7</f>
        <v>2906</v>
      </c>
      <c r="I18" s="103">
        <f>CORPcf!I7</f>
        <v>2750</v>
      </c>
      <c r="J18" s="103">
        <f>CORPcf!J7</f>
        <v>2750</v>
      </c>
      <c r="K18" s="103">
        <f>CORPcf!K7</f>
        <v>2750</v>
      </c>
      <c r="L18" s="103">
        <f>CORPcf!L7</f>
        <v>2750</v>
      </c>
      <c r="M18" s="103">
        <f>CORPcf!M7</f>
        <v>2750</v>
      </c>
      <c r="N18" s="103">
        <f>CORPcf!N7</f>
        <v>2500</v>
      </c>
      <c r="O18" s="103">
        <f>CORPcf!O7</f>
        <v>2000</v>
      </c>
      <c r="P18" s="103">
        <f>CORPcf!P7</f>
        <v>2000</v>
      </c>
      <c r="Q18" s="103">
        <f>CORPcf!Q7</f>
        <v>2000</v>
      </c>
      <c r="R18"/>
    </row>
    <row r="19" spans="2:18" s="97" customFormat="1" hidden="1" outlineLevel="1" x14ac:dyDescent="0.25">
      <c r="B19" s="37"/>
      <c r="C19" s="91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/>
    </row>
    <row r="20" spans="2:18" s="37" customFormat="1" collapsed="1" x14ac:dyDescent="0.25">
      <c r="B20" s="37" t="s">
        <v>59</v>
      </c>
      <c r="C20" s="100">
        <f>SUM(D21:Q23)-SUM(D20:Q20)</f>
        <v>0</v>
      </c>
      <c r="D20" s="101">
        <f t="shared" ref="D20:Q20" si="3">SUM(D21:D23)</f>
        <v>0</v>
      </c>
      <c r="E20" s="101">
        <f t="shared" si="3"/>
        <v>0</v>
      </c>
      <c r="F20" s="101">
        <f t="shared" si="3"/>
        <v>0</v>
      </c>
      <c r="G20" s="101">
        <f t="shared" si="3"/>
        <v>0</v>
      </c>
      <c r="H20" s="101">
        <f t="shared" si="3"/>
        <v>0</v>
      </c>
      <c r="I20" s="101">
        <f t="shared" si="3"/>
        <v>0</v>
      </c>
      <c r="J20" s="101">
        <f t="shared" si="3"/>
        <v>0</v>
      </c>
      <c r="K20" s="101">
        <f t="shared" si="3"/>
        <v>0</v>
      </c>
      <c r="L20" s="101">
        <f t="shared" si="3"/>
        <v>0</v>
      </c>
      <c r="M20" s="101">
        <f t="shared" si="3"/>
        <v>0</v>
      </c>
      <c r="N20" s="101">
        <f t="shared" si="3"/>
        <v>0</v>
      </c>
      <c r="O20" s="101">
        <f t="shared" si="3"/>
        <v>0</v>
      </c>
      <c r="P20" s="101">
        <f t="shared" si="3"/>
        <v>0</v>
      </c>
      <c r="Q20" s="101">
        <f t="shared" si="3"/>
        <v>0</v>
      </c>
      <c r="R20"/>
    </row>
    <row r="21" spans="2:18" s="37" customFormat="1" hidden="1" outlineLevel="1" x14ac:dyDescent="0.25">
      <c r="B21" s="37" t="s">
        <v>544</v>
      </c>
      <c r="C21" s="102">
        <f>SUM(Biz1cf!D8:Q8)-SUM(D21:Q21)</f>
        <v>0</v>
      </c>
      <c r="D21" s="103">
        <f>Biz1cf!D8</f>
        <v>0</v>
      </c>
      <c r="E21" s="103">
        <f>Biz1cf!E8</f>
        <v>0</v>
      </c>
      <c r="F21" s="103">
        <f>Biz1cf!F8</f>
        <v>0</v>
      </c>
      <c r="G21" s="103">
        <f>Biz1cf!G8</f>
        <v>0</v>
      </c>
      <c r="H21" s="103">
        <f>Biz1cf!H8</f>
        <v>0</v>
      </c>
      <c r="I21" s="103">
        <f>Biz1cf!I8</f>
        <v>0</v>
      </c>
      <c r="J21" s="103">
        <f>Biz1cf!J8</f>
        <v>0</v>
      </c>
      <c r="K21" s="103">
        <f>Biz1cf!K8</f>
        <v>0</v>
      </c>
      <c r="L21" s="103">
        <f>Biz1cf!L8</f>
        <v>0</v>
      </c>
      <c r="M21" s="103">
        <f>Biz1cf!M8</f>
        <v>0</v>
      </c>
      <c r="N21" s="103">
        <f>Biz1cf!N8</f>
        <v>0</v>
      </c>
      <c r="O21" s="103">
        <f>Biz1cf!O8</f>
        <v>0</v>
      </c>
      <c r="P21" s="103">
        <f>Biz1cf!P8</f>
        <v>0</v>
      </c>
      <c r="Q21" s="103">
        <f>Biz1cf!Q8</f>
        <v>0</v>
      </c>
      <c r="R21"/>
    </row>
    <row r="22" spans="2:18" s="37" customFormat="1" hidden="1" outlineLevel="1" x14ac:dyDescent="0.25">
      <c r="B22" s="37" t="s">
        <v>545</v>
      </c>
      <c r="C22" s="102">
        <f>SUM(Biz2cf!D8:Q8)-SUM(D22:Q22)</f>
        <v>0</v>
      </c>
      <c r="D22" s="103">
        <f>Biz2cf!D8</f>
        <v>0</v>
      </c>
      <c r="E22" s="103">
        <f>Biz2cf!E8</f>
        <v>0</v>
      </c>
      <c r="F22" s="103">
        <f>Biz2cf!F8</f>
        <v>0</v>
      </c>
      <c r="G22" s="103">
        <f>Biz2cf!G8</f>
        <v>0</v>
      </c>
      <c r="H22" s="103">
        <f>Biz2cf!H8</f>
        <v>0</v>
      </c>
      <c r="I22" s="103">
        <f>Biz2cf!I8</f>
        <v>0</v>
      </c>
      <c r="J22" s="103">
        <f>Biz2cf!J8</f>
        <v>0</v>
      </c>
      <c r="K22" s="103">
        <f>Biz2cf!K8</f>
        <v>0</v>
      </c>
      <c r="L22" s="103">
        <f>Biz2cf!L8</f>
        <v>0</v>
      </c>
      <c r="M22" s="103">
        <f>Biz2cf!M8</f>
        <v>0</v>
      </c>
      <c r="N22" s="103">
        <f>Biz2cf!N8</f>
        <v>0</v>
      </c>
      <c r="O22" s="103">
        <f>Biz2cf!O8</f>
        <v>0</v>
      </c>
      <c r="P22" s="103">
        <f>Biz2cf!P8</f>
        <v>0</v>
      </c>
      <c r="Q22" s="103">
        <f>Biz2cf!Q8</f>
        <v>0</v>
      </c>
      <c r="R22"/>
    </row>
    <row r="23" spans="2:18" s="37" customFormat="1" hidden="1" outlineLevel="1" x14ac:dyDescent="0.25">
      <c r="B23" s="37" t="s">
        <v>546</v>
      </c>
      <c r="C23" s="102">
        <f>SUM(CORPcf!D8:Q8)-SUM(D23:Q23)</f>
        <v>0</v>
      </c>
      <c r="D23" s="103">
        <f>CORPcf!D8</f>
        <v>0</v>
      </c>
      <c r="E23" s="103">
        <f>CORPcf!E8</f>
        <v>0</v>
      </c>
      <c r="F23" s="103">
        <f>CORPcf!F8</f>
        <v>0</v>
      </c>
      <c r="G23" s="103">
        <f>CORPcf!G8</f>
        <v>0</v>
      </c>
      <c r="H23" s="103">
        <f>CORPcf!H8</f>
        <v>0</v>
      </c>
      <c r="I23" s="103">
        <f>CORPcf!I8</f>
        <v>0</v>
      </c>
      <c r="J23" s="103">
        <f>CORPcf!J8</f>
        <v>0</v>
      </c>
      <c r="K23" s="103">
        <f>CORPcf!K8</f>
        <v>0</v>
      </c>
      <c r="L23" s="103">
        <f>CORPcf!L8</f>
        <v>0</v>
      </c>
      <c r="M23" s="103">
        <f>CORPcf!M8</f>
        <v>0</v>
      </c>
      <c r="N23" s="103">
        <f>CORPcf!N8</f>
        <v>0</v>
      </c>
      <c r="O23" s="103">
        <f>CORPcf!O8</f>
        <v>0</v>
      </c>
      <c r="P23" s="103">
        <f>CORPcf!P8</f>
        <v>0</v>
      </c>
      <c r="Q23" s="103">
        <f>CORPcf!Q8</f>
        <v>0</v>
      </c>
      <c r="R23"/>
    </row>
    <row r="24" spans="2:18" s="97" customFormat="1" hidden="1" outlineLevel="1" x14ac:dyDescent="0.25">
      <c r="B24" s="37"/>
      <c r="C24" s="91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/>
    </row>
    <row r="25" spans="2:18" s="37" customFormat="1" collapsed="1" x14ac:dyDescent="0.25">
      <c r="B25" s="37" t="s">
        <v>8</v>
      </c>
      <c r="C25" s="100">
        <f>SUM(D26:Q28)-SUM(D25:Q25)</f>
        <v>0</v>
      </c>
      <c r="D25" s="101">
        <f t="shared" ref="D25:Q25" si="4">SUM(D26:D28)</f>
        <v>2302</v>
      </c>
      <c r="E25" s="101">
        <f t="shared" si="4"/>
        <v>55667</v>
      </c>
      <c r="F25" s="101">
        <f t="shared" si="4"/>
        <v>-11870.047</v>
      </c>
      <c r="G25" s="101">
        <f t="shared" si="4"/>
        <v>0</v>
      </c>
      <c r="H25" s="101">
        <f t="shared" si="4"/>
        <v>0</v>
      </c>
      <c r="I25" s="101">
        <f t="shared" si="4"/>
        <v>0</v>
      </c>
      <c r="J25" s="101">
        <f t="shared" si="4"/>
        <v>0</v>
      </c>
      <c r="K25" s="101">
        <f t="shared" si="4"/>
        <v>0</v>
      </c>
      <c r="L25" s="101">
        <f t="shared" si="4"/>
        <v>0</v>
      </c>
      <c r="M25" s="101">
        <f t="shared" si="4"/>
        <v>0</v>
      </c>
      <c r="N25" s="101">
        <f t="shared" si="4"/>
        <v>0</v>
      </c>
      <c r="O25" s="101">
        <f t="shared" si="4"/>
        <v>0</v>
      </c>
      <c r="P25" s="101">
        <f t="shared" si="4"/>
        <v>0</v>
      </c>
      <c r="Q25" s="101">
        <f t="shared" si="4"/>
        <v>0</v>
      </c>
      <c r="R25"/>
    </row>
    <row r="26" spans="2:18" s="37" customFormat="1" hidden="1" outlineLevel="1" x14ac:dyDescent="0.25">
      <c r="B26" s="37" t="s">
        <v>544</v>
      </c>
      <c r="C26" s="102">
        <f>SUM(Biz1cf!D9:Q9)-SUM(D26:Q26)</f>
        <v>0</v>
      </c>
      <c r="D26" s="103">
        <f>Biz1cf!D9</f>
        <v>0</v>
      </c>
      <c r="E26" s="103">
        <f>Biz1cf!E9</f>
        <v>0</v>
      </c>
      <c r="F26" s="103">
        <f>Biz1cf!F9</f>
        <v>0</v>
      </c>
      <c r="G26" s="103">
        <f>Biz1cf!G9</f>
        <v>0</v>
      </c>
      <c r="H26" s="103">
        <f>Biz1cf!H9</f>
        <v>0</v>
      </c>
      <c r="I26" s="103">
        <f>Biz1cf!I9</f>
        <v>0</v>
      </c>
      <c r="J26" s="103">
        <f>Biz1cf!J9</f>
        <v>0</v>
      </c>
      <c r="K26" s="103">
        <f>Biz1cf!K9</f>
        <v>0</v>
      </c>
      <c r="L26" s="103">
        <f>Biz1cf!L9</f>
        <v>0</v>
      </c>
      <c r="M26" s="103">
        <f>Biz1cf!M9</f>
        <v>0</v>
      </c>
      <c r="N26" s="103">
        <f>Biz1cf!N9</f>
        <v>0</v>
      </c>
      <c r="O26" s="103">
        <f>Biz1cf!O9</f>
        <v>0</v>
      </c>
      <c r="P26" s="103">
        <f>Biz1cf!P9</f>
        <v>0</v>
      </c>
      <c r="Q26" s="103">
        <f>Biz1cf!Q9</f>
        <v>0</v>
      </c>
      <c r="R26"/>
    </row>
    <row r="27" spans="2:18" s="37" customFormat="1" hidden="1" outlineLevel="1" x14ac:dyDescent="0.25">
      <c r="B27" s="37" t="s">
        <v>545</v>
      </c>
      <c r="C27" s="102">
        <f>SUM(Biz2cf!D9:Q9)-SUM(D27:Q27)</f>
        <v>0</v>
      </c>
      <c r="D27" s="103">
        <f>Biz2cf!D9</f>
        <v>0</v>
      </c>
      <c r="E27" s="103">
        <f>Biz2cf!E9</f>
        <v>0</v>
      </c>
      <c r="F27" s="103">
        <f>Biz2cf!F9</f>
        <v>0</v>
      </c>
      <c r="G27" s="103">
        <f>Biz2cf!G9</f>
        <v>0</v>
      </c>
      <c r="H27" s="103">
        <f>Biz2cf!H9</f>
        <v>0</v>
      </c>
      <c r="I27" s="103">
        <f>Biz2cf!I9</f>
        <v>0</v>
      </c>
      <c r="J27" s="103">
        <f>Biz2cf!J9</f>
        <v>0</v>
      </c>
      <c r="K27" s="103">
        <f>Biz2cf!K9</f>
        <v>0</v>
      </c>
      <c r="L27" s="103">
        <f>Biz2cf!L9</f>
        <v>0</v>
      </c>
      <c r="M27" s="103">
        <f>Biz2cf!M9</f>
        <v>0</v>
      </c>
      <c r="N27" s="103">
        <f>Biz2cf!N9</f>
        <v>0</v>
      </c>
      <c r="O27" s="103">
        <f>Biz2cf!O9</f>
        <v>0</v>
      </c>
      <c r="P27" s="103">
        <f>Biz2cf!P9</f>
        <v>0</v>
      </c>
      <c r="Q27" s="103">
        <f>Biz2cf!Q9</f>
        <v>0</v>
      </c>
      <c r="R27"/>
    </row>
    <row r="28" spans="2:18" s="37" customFormat="1" hidden="1" outlineLevel="1" x14ac:dyDescent="0.25">
      <c r="B28" s="37" t="s">
        <v>546</v>
      </c>
      <c r="C28" s="102">
        <f>SUM(CORPcf!D9:Q9)-SUM(D28:Q28)</f>
        <v>0</v>
      </c>
      <c r="D28" s="103">
        <f>CORPcf!D9</f>
        <v>2302</v>
      </c>
      <c r="E28" s="103">
        <f>CORPcf!E9</f>
        <v>55667</v>
      </c>
      <c r="F28" s="103">
        <f>CORPcf!F9</f>
        <v>-11870.047</v>
      </c>
      <c r="G28" s="103">
        <f>CORPcf!G9</f>
        <v>0</v>
      </c>
      <c r="H28" s="103">
        <f>CORPcf!H9</f>
        <v>0</v>
      </c>
      <c r="I28" s="103">
        <f>CORPcf!I9</f>
        <v>0</v>
      </c>
      <c r="J28" s="103">
        <f>CORPcf!J9</f>
        <v>0</v>
      </c>
      <c r="K28" s="103">
        <f>CORPcf!K9</f>
        <v>0</v>
      </c>
      <c r="L28" s="103">
        <f>CORPcf!L9</f>
        <v>0</v>
      </c>
      <c r="M28" s="103">
        <f>CORPcf!M9</f>
        <v>0</v>
      </c>
      <c r="N28" s="103">
        <f>CORPcf!N9</f>
        <v>0</v>
      </c>
      <c r="O28" s="103">
        <f>CORPcf!O9</f>
        <v>0</v>
      </c>
      <c r="P28" s="103">
        <f>CORPcf!P9</f>
        <v>0</v>
      </c>
      <c r="Q28" s="103">
        <f>CORPcf!Q9</f>
        <v>0</v>
      </c>
      <c r="R28"/>
    </row>
    <row r="29" spans="2:18" s="97" customFormat="1" hidden="1" outlineLevel="1" x14ac:dyDescent="0.25">
      <c r="B29" s="37"/>
      <c r="C29" s="91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/>
    </row>
    <row r="30" spans="2:18" s="37" customFormat="1" collapsed="1" x14ac:dyDescent="0.25">
      <c r="B30" s="37" t="s">
        <v>60</v>
      </c>
      <c r="C30" s="100">
        <f>SUM(D31:Q33)-SUM(D30:Q30)</f>
        <v>0</v>
      </c>
      <c r="D30" s="101">
        <f t="shared" ref="D30:Q30" si="5">SUM(D31:D33)</f>
        <v>-3182.0830000000001</v>
      </c>
      <c r="E30" s="101">
        <f t="shared" si="5"/>
        <v>-1472</v>
      </c>
      <c r="F30" s="101">
        <f t="shared" si="5"/>
        <v>4053.9949999999999</v>
      </c>
      <c r="G30" s="101">
        <f t="shared" si="5"/>
        <v>2100.6109999999999</v>
      </c>
      <c r="H30" s="101">
        <f t="shared" si="5"/>
        <v>3993.1926828426281</v>
      </c>
      <c r="I30" s="101">
        <f t="shared" si="5"/>
        <v>746.03323993622917</v>
      </c>
      <c r="J30" s="101">
        <f t="shared" si="5"/>
        <v>746.03323993622917</v>
      </c>
      <c r="K30" s="101">
        <f t="shared" si="5"/>
        <v>746.03323993622917</v>
      </c>
      <c r="L30" s="101">
        <f t="shared" si="5"/>
        <v>746.03323993622917</v>
      </c>
      <c r="M30" s="101">
        <f t="shared" si="5"/>
        <v>2984.1329597449167</v>
      </c>
      <c r="N30" s="101">
        <f t="shared" si="5"/>
        <v>4591.3280806470393</v>
      </c>
      <c r="O30" s="101">
        <f t="shared" si="5"/>
        <v>4942.3488362115768</v>
      </c>
      <c r="P30" s="101">
        <f t="shared" si="5"/>
        <v>5087.8736229105234</v>
      </c>
      <c r="Q30" s="101">
        <f t="shared" si="5"/>
        <v>3651.9293989228286</v>
      </c>
      <c r="R30"/>
    </row>
    <row r="31" spans="2:18" s="37" customFormat="1" hidden="1" outlineLevel="1" x14ac:dyDescent="0.25">
      <c r="B31" s="37" t="s">
        <v>544</v>
      </c>
      <c r="C31" s="102">
        <f>SUM(Biz1cf!D10:Q10)-SUM(D31:Q31)</f>
        <v>0</v>
      </c>
      <c r="D31" s="103">
        <f>Biz1cf!D10</f>
        <v>-3182.0830000000001</v>
      </c>
      <c r="E31" s="103">
        <f>Biz1cf!E10</f>
        <v>-1472</v>
      </c>
      <c r="F31" s="103">
        <f>Biz1cf!F10</f>
        <v>4053.9949999999999</v>
      </c>
      <c r="G31" s="103">
        <f>Biz1cf!G10</f>
        <v>2100.6109999999999</v>
      </c>
      <c r="H31" s="103">
        <f>Biz1cf!H10</f>
        <v>3993.1926828426281</v>
      </c>
      <c r="I31" s="103">
        <f>Biz1cf!I10</f>
        <v>746.03323993622917</v>
      </c>
      <c r="J31" s="103">
        <f>Biz1cf!J10</f>
        <v>746.03323993622917</v>
      </c>
      <c r="K31" s="103">
        <f>Biz1cf!K10</f>
        <v>746.03323993622917</v>
      </c>
      <c r="L31" s="103">
        <f>Biz1cf!L10</f>
        <v>746.03323993622917</v>
      </c>
      <c r="M31" s="103">
        <f>Biz1cf!M10</f>
        <v>2984.1329597449167</v>
      </c>
      <c r="N31" s="103">
        <f>Biz1cf!N10</f>
        <v>4591.3280806470393</v>
      </c>
      <c r="O31" s="103">
        <f>Biz1cf!O10</f>
        <v>4942.3488362115768</v>
      </c>
      <c r="P31" s="103">
        <f>Biz1cf!P10</f>
        <v>5087.8736229105234</v>
      </c>
      <c r="Q31" s="103">
        <f>Biz1cf!Q10</f>
        <v>3651.9293989228286</v>
      </c>
      <c r="R31"/>
    </row>
    <row r="32" spans="2:18" s="37" customFormat="1" hidden="1" outlineLevel="1" x14ac:dyDescent="0.25">
      <c r="B32" s="37" t="s">
        <v>545</v>
      </c>
      <c r="C32" s="102">
        <f>SUM(Biz2cf!D10:Q10)-SUM(D32:Q32)</f>
        <v>0</v>
      </c>
      <c r="D32" s="103">
        <f>Biz2cf!D10</f>
        <v>0</v>
      </c>
      <c r="E32" s="103">
        <f>Biz2cf!E10</f>
        <v>0</v>
      </c>
      <c r="F32" s="103">
        <f>Biz2cf!F10</f>
        <v>0</v>
      </c>
      <c r="G32" s="103">
        <f>Biz2cf!G10</f>
        <v>0</v>
      </c>
      <c r="H32" s="103">
        <f>Biz2cf!H10</f>
        <v>0</v>
      </c>
      <c r="I32" s="103">
        <f>Biz2cf!I10</f>
        <v>0</v>
      </c>
      <c r="J32" s="103">
        <f>Biz2cf!J10</f>
        <v>0</v>
      </c>
      <c r="K32" s="103">
        <f>Biz2cf!K10</f>
        <v>0</v>
      </c>
      <c r="L32" s="103">
        <f>Biz2cf!L10</f>
        <v>0</v>
      </c>
      <c r="M32" s="103">
        <f>Biz2cf!M10</f>
        <v>0</v>
      </c>
      <c r="N32" s="103">
        <f>Biz2cf!N10</f>
        <v>0</v>
      </c>
      <c r="O32" s="103">
        <f>Biz2cf!O10</f>
        <v>0</v>
      </c>
      <c r="P32" s="103">
        <f>Biz2cf!P10</f>
        <v>0</v>
      </c>
      <c r="Q32" s="103">
        <f>Biz2cf!Q10</f>
        <v>0</v>
      </c>
      <c r="R32"/>
    </row>
    <row r="33" spans="1:18" s="37" customFormat="1" hidden="1" outlineLevel="1" x14ac:dyDescent="0.25">
      <c r="B33" s="37" t="s">
        <v>546</v>
      </c>
      <c r="C33" s="102">
        <f>SUM(CORPcf!D10:Q10)-SUM(D33:Q33)</f>
        <v>0</v>
      </c>
      <c r="D33" s="103">
        <f>CORPcf!D10</f>
        <v>0</v>
      </c>
      <c r="E33" s="103">
        <f>CORPcf!E10</f>
        <v>0</v>
      </c>
      <c r="F33" s="103">
        <f>CORPcf!F10</f>
        <v>0</v>
      </c>
      <c r="G33" s="103">
        <f>CORPcf!G10</f>
        <v>0</v>
      </c>
      <c r="H33" s="103">
        <f>CORPcf!H10</f>
        <v>0</v>
      </c>
      <c r="I33" s="103">
        <f>CORPcf!I10</f>
        <v>0</v>
      </c>
      <c r="J33" s="103">
        <f>CORPcf!J10</f>
        <v>0</v>
      </c>
      <c r="K33" s="103">
        <f>CORPcf!K10</f>
        <v>0</v>
      </c>
      <c r="L33" s="103">
        <f>CORPcf!L10</f>
        <v>0</v>
      </c>
      <c r="M33" s="103">
        <f>CORPcf!M10</f>
        <v>0</v>
      </c>
      <c r="N33" s="103">
        <f>CORPcf!N10</f>
        <v>0</v>
      </c>
      <c r="O33" s="103">
        <f>CORPcf!O10</f>
        <v>0</v>
      </c>
      <c r="P33" s="103">
        <f>CORPcf!P10</f>
        <v>0</v>
      </c>
      <c r="Q33" s="103">
        <f>CORPcf!Q10</f>
        <v>0</v>
      </c>
      <c r="R33"/>
    </row>
    <row r="34" spans="1:18" s="97" customFormat="1" hidden="1" outlineLevel="1" x14ac:dyDescent="0.25">
      <c r="B34" s="37"/>
      <c r="C34" s="91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/>
    </row>
    <row r="35" spans="1:18" s="97" customFormat="1" collapsed="1" x14ac:dyDescent="0.25">
      <c r="A35" s="104" t="s">
        <v>61</v>
      </c>
      <c r="B35" s="37"/>
      <c r="C35" s="91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/>
    </row>
    <row r="36" spans="1:18" s="37" customFormat="1" x14ac:dyDescent="0.25">
      <c r="B36" s="37" t="s">
        <v>98</v>
      </c>
      <c r="C36" s="100">
        <f>SUM(D37:Q39)-SUM(D36:Q36)</f>
        <v>0</v>
      </c>
      <c r="D36" s="101">
        <f t="shared" ref="D36:Q36" si="6">SUM(D37:D39)</f>
        <v>0</v>
      </c>
      <c r="E36" s="101">
        <f t="shared" si="6"/>
        <v>32820.129871884157</v>
      </c>
      <c r="F36" s="101">
        <f t="shared" si="6"/>
        <v>9583.9529268061051</v>
      </c>
      <c r="G36" s="101">
        <f t="shared" si="6"/>
        <v>-25445.676361222311</v>
      </c>
      <c r="H36" s="101">
        <f t="shared" si="6"/>
        <v>-13030.28073521399</v>
      </c>
      <c r="I36" s="101">
        <f t="shared" si="6"/>
        <v>5911.5667714373849</v>
      </c>
      <c r="J36" s="101">
        <f t="shared" si="6"/>
        <v>0</v>
      </c>
      <c r="K36" s="101">
        <f t="shared" si="6"/>
        <v>0</v>
      </c>
      <c r="L36" s="101">
        <f t="shared" si="6"/>
        <v>0</v>
      </c>
      <c r="M36" s="101">
        <f t="shared" si="6"/>
        <v>-22329.824305312879</v>
      </c>
      <c r="N36" s="101">
        <f t="shared" si="6"/>
        <v>-10539.742181689426</v>
      </c>
      <c r="O36" s="101">
        <f t="shared" si="6"/>
        <v>-2956.4949760324507</v>
      </c>
      <c r="P36" s="101">
        <f t="shared" si="6"/>
        <v>3652.1343441927893</v>
      </c>
      <c r="Q36" s="101">
        <f t="shared" si="6"/>
        <v>2973.5820719207404</v>
      </c>
      <c r="R36"/>
    </row>
    <row r="37" spans="1:18" s="37" customFormat="1" hidden="1" outlineLevel="1" x14ac:dyDescent="0.25">
      <c r="B37" s="37" t="s">
        <v>544</v>
      </c>
      <c r="C37" s="102">
        <f>SUM(Biz1cf!D12:Q12)-SUM(D37:Q37)</f>
        <v>0</v>
      </c>
      <c r="D37" s="103">
        <f>Biz1cf!D12</f>
        <v>0</v>
      </c>
      <c r="E37" s="103">
        <f>Biz1cf!E12</f>
        <v>22736.157432030461</v>
      </c>
      <c r="F37" s="103">
        <f>Biz1cf!F12</f>
        <v>4910.0737558946603</v>
      </c>
      <c r="G37" s="103">
        <f>Biz1cf!G12</f>
        <v>-26000.001976881947</v>
      </c>
      <c r="H37" s="103">
        <f>Biz1cf!H12</f>
        <v>-11548.349676218735</v>
      </c>
      <c r="I37" s="103">
        <f>Biz1cf!I12</f>
        <v>5911.5667714373849</v>
      </c>
      <c r="J37" s="103">
        <f>Biz1cf!J12</f>
        <v>0</v>
      </c>
      <c r="K37" s="103">
        <f>Biz1cf!K12</f>
        <v>0</v>
      </c>
      <c r="L37" s="103">
        <f>Biz1cf!L12</f>
        <v>0</v>
      </c>
      <c r="M37" s="103">
        <f>Biz1cf!M12</f>
        <v>-19245.018153986304</v>
      </c>
      <c r="N37" s="103">
        <f>Biz1cf!N12</f>
        <v>-10275.065099117863</v>
      </c>
      <c r="O37" s="103">
        <f>Biz1cf!O12</f>
        <v>-2696.0222954156052</v>
      </c>
      <c r="P37" s="103">
        <f>Biz1cf!P12</f>
        <v>3652.1343441927893</v>
      </c>
      <c r="Q37" s="103">
        <f>Biz1cf!Q12</f>
        <v>2973.5820719207404</v>
      </c>
      <c r="R37"/>
    </row>
    <row r="38" spans="1:18" s="37" customFormat="1" hidden="1" outlineLevel="1" x14ac:dyDescent="0.25">
      <c r="B38" s="37" t="s">
        <v>545</v>
      </c>
      <c r="C38" s="102">
        <f>SUM(Biz2cf!D12:Q12)-SUM(D38:Q38)</f>
        <v>0</v>
      </c>
      <c r="D38" s="103">
        <f>Biz2cf!D12</f>
        <v>0</v>
      </c>
      <c r="E38" s="103">
        <f>Biz2cf!E12</f>
        <v>10083.9724398537</v>
      </c>
      <c r="F38" s="103">
        <f>Biz2cf!F12</f>
        <v>4673.8791709114457</v>
      </c>
      <c r="G38" s="103">
        <f>Biz2cf!G12</f>
        <v>554.32561565963624</v>
      </c>
      <c r="H38" s="103">
        <f>Biz2cf!H12</f>
        <v>-1481.9310589952556</v>
      </c>
      <c r="I38" s="103">
        <f>Biz2cf!I12</f>
        <v>0</v>
      </c>
      <c r="J38" s="103">
        <f>Biz2cf!J12</f>
        <v>0</v>
      </c>
      <c r="K38" s="103">
        <f>Biz2cf!K12</f>
        <v>0</v>
      </c>
      <c r="L38" s="103">
        <f>Biz2cf!L12</f>
        <v>0</v>
      </c>
      <c r="M38" s="103">
        <f>Biz2cf!M12</f>
        <v>-3084.8061513265757</v>
      </c>
      <c r="N38" s="103">
        <f>Biz2cf!N12</f>
        <v>-264.67708257156301</v>
      </c>
      <c r="O38" s="103">
        <f>Biz2cf!O12</f>
        <v>-260.47268061684554</v>
      </c>
      <c r="P38" s="103">
        <f>Biz2cf!P12</f>
        <v>0</v>
      </c>
      <c r="Q38" s="103">
        <f>Biz2cf!Q12</f>
        <v>0</v>
      </c>
      <c r="R38"/>
    </row>
    <row r="39" spans="1:18" s="37" customFormat="1" hidden="1" outlineLevel="1" x14ac:dyDescent="0.25">
      <c r="B39" s="37" t="s">
        <v>546</v>
      </c>
      <c r="C39" s="102">
        <f>SUM(CORPcf!D12:Q12)-SUM(D39:Q39)</f>
        <v>0</v>
      </c>
      <c r="D39" s="103">
        <f>CORPcf!D12</f>
        <v>0</v>
      </c>
      <c r="E39" s="103">
        <f>CORPcf!E12</f>
        <v>0</v>
      </c>
      <c r="F39" s="103">
        <f>CORPcf!F12</f>
        <v>0</v>
      </c>
      <c r="G39" s="103">
        <f>CORPcf!G12</f>
        <v>0</v>
      </c>
      <c r="H39" s="103">
        <f>CORPcf!H12</f>
        <v>0</v>
      </c>
      <c r="I39" s="103">
        <f>CORPcf!I12</f>
        <v>0</v>
      </c>
      <c r="J39" s="103">
        <f>CORPcf!J12</f>
        <v>0</v>
      </c>
      <c r="K39" s="103">
        <f>CORPcf!K12</f>
        <v>0</v>
      </c>
      <c r="L39" s="103">
        <f>CORPcf!L12</f>
        <v>0</v>
      </c>
      <c r="M39" s="103">
        <f>CORPcf!M12</f>
        <v>0</v>
      </c>
      <c r="N39" s="103">
        <f>CORPcf!N12</f>
        <v>0</v>
      </c>
      <c r="O39" s="103">
        <f>CORPcf!O12</f>
        <v>0</v>
      </c>
      <c r="P39" s="103">
        <f>CORPcf!P12</f>
        <v>0</v>
      </c>
      <c r="Q39" s="103">
        <f>CORPcf!Q12</f>
        <v>0</v>
      </c>
      <c r="R39"/>
    </row>
    <row r="40" spans="1:18" s="97" customFormat="1" hidden="1" outlineLevel="1" x14ac:dyDescent="0.25">
      <c r="B40" s="37"/>
      <c r="C40" s="91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/>
    </row>
    <row r="41" spans="1:18" s="37" customFormat="1" collapsed="1" x14ac:dyDescent="0.25">
      <c r="B41" s="37" t="s">
        <v>62</v>
      </c>
      <c r="C41" s="100">
        <f>SUM(D42:Q44)-SUM(D41:Q41)</f>
        <v>0</v>
      </c>
      <c r="D41" s="101">
        <f t="shared" ref="D41:Q41" si="7">SUM(D42:D44)</f>
        <v>0</v>
      </c>
      <c r="E41" s="101">
        <f t="shared" si="7"/>
        <v>56646.208105839913</v>
      </c>
      <c r="F41" s="101">
        <f t="shared" si="7"/>
        <v>-1753.3907117937852</v>
      </c>
      <c r="G41" s="101">
        <f t="shared" si="7"/>
        <v>-70269.20024620014</v>
      </c>
      <c r="H41" s="101">
        <f t="shared" si="7"/>
        <v>-5668.3691740500835</v>
      </c>
      <c r="I41" s="101">
        <f t="shared" si="7"/>
        <v>12301.324126567502</v>
      </c>
      <c r="J41" s="101">
        <f t="shared" si="7"/>
        <v>0</v>
      </c>
      <c r="K41" s="101">
        <f t="shared" si="7"/>
        <v>0</v>
      </c>
      <c r="L41" s="101">
        <f t="shared" si="7"/>
        <v>0</v>
      </c>
      <c r="M41" s="101">
        <f t="shared" si="7"/>
        <v>-34658.345440349825</v>
      </c>
      <c r="N41" s="101">
        <f t="shared" si="7"/>
        <v>-8253.3532424315999</v>
      </c>
      <c r="O41" s="101">
        <f t="shared" si="7"/>
        <v>-5145.0574720687582</v>
      </c>
      <c r="P41" s="101">
        <f t="shared" si="7"/>
        <v>6559.7543503226188</v>
      </c>
      <c r="Q41" s="101">
        <f t="shared" si="7"/>
        <v>5163.7208250612312</v>
      </c>
      <c r="R41"/>
    </row>
    <row r="42" spans="1:18" s="37" customFormat="1" hidden="1" outlineLevel="1" x14ac:dyDescent="0.25">
      <c r="B42" s="37" t="s">
        <v>544</v>
      </c>
      <c r="C42" s="102">
        <f>SUM(Biz1cf!D13:Q13)-SUM(D42:Q42)</f>
        <v>0</v>
      </c>
      <c r="D42" s="103">
        <f>Biz1cf!D13</f>
        <v>0</v>
      </c>
      <c r="E42" s="103">
        <f>Biz1cf!E13</f>
        <v>38299.846192563979</v>
      </c>
      <c r="F42" s="103">
        <f>Biz1cf!F13</f>
        <v>-2795.366863366864</v>
      </c>
      <c r="G42" s="103">
        <f>Biz1cf!G13</f>
        <v>-69361.830144672727</v>
      </c>
      <c r="H42" s="103">
        <f>Biz1cf!H13</f>
        <v>-4550.0034753047803</v>
      </c>
      <c r="I42" s="103">
        <f>Biz1cf!I13</f>
        <v>12301.324126567502</v>
      </c>
      <c r="J42" s="103">
        <f>Biz1cf!J13</f>
        <v>0</v>
      </c>
      <c r="K42" s="103">
        <f>Biz1cf!K13</f>
        <v>0</v>
      </c>
      <c r="L42" s="103">
        <f>Biz1cf!L13</f>
        <v>0</v>
      </c>
      <c r="M42" s="103">
        <f>Biz1cf!M13</f>
        <v>-30107.114196741109</v>
      </c>
      <c r="N42" s="103">
        <f>Biz1cf!N13</f>
        <v>-9176.4739856244705</v>
      </c>
      <c r="O42" s="103">
        <f>Biz1cf!O13</f>
        <v>-4684.2790695408621</v>
      </c>
      <c r="P42" s="103">
        <f>Biz1cf!P13</f>
        <v>6559.7543503226188</v>
      </c>
      <c r="Q42" s="103">
        <f>Biz1cf!Q13</f>
        <v>5163.7208250612312</v>
      </c>
      <c r="R42"/>
    </row>
    <row r="43" spans="1:18" s="37" customFormat="1" hidden="1" outlineLevel="1" x14ac:dyDescent="0.25">
      <c r="B43" s="37" t="s">
        <v>545</v>
      </c>
      <c r="C43" s="102">
        <f>SUM(Biz2cf!D13:Q13)-SUM(D43:Q43)</f>
        <v>0</v>
      </c>
      <c r="D43" s="103">
        <f>Biz2cf!D13</f>
        <v>0</v>
      </c>
      <c r="E43" s="103">
        <f>Biz2cf!E13</f>
        <v>18346.361913275934</v>
      </c>
      <c r="F43" s="103">
        <f>Biz2cf!F13</f>
        <v>1041.9761515730788</v>
      </c>
      <c r="G43" s="103">
        <f>Biz2cf!G13</f>
        <v>-907.37010152740913</v>
      </c>
      <c r="H43" s="103">
        <f>Biz2cf!H13</f>
        <v>-1118.3656987453032</v>
      </c>
      <c r="I43" s="103">
        <f>Biz2cf!I13</f>
        <v>0</v>
      </c>
      <c r="J43" s="103">
        <f>Biz2cf!J13</f>
        <v>0</v>
      </c>
      <c r="K43" s="103">
        <f>Biz2cf!K13</f>
        <v>0</v>
      </c>
      <c r="L43" s="103">
        <f>Biz2cf!L13</f>
        <v>0</v>
      </c>
      <c r="M43" s="103">
        <f>Biz2cf!M13</f>
        <v>-4551.2312436087177</v>
      </c>
      <c r="N43" s="103">
        <f>Biz2cf!N13</f>
        <v>923.12074319287058</v>
      </c>
      <c r="O43" s="103">
        <f>Biz2cf!O13</f>
        <v>-460.77840252789611</v>
      </c>
      <c r="P43" s="103">
        <f>Biz2cf!P13</f>
        <v>0</v>
      </c>
      <c r="Q43" s="103">
        <f>Biz2cf!Q13</f>
        <v>0</v>
      </c>
      <c r="R43"/>
    </row>
    <row r="44" spans="1:18" s="37" customFormat="1" hidden="1" outlineLevel="1" x14ac:dyDescent="0.25">
      <c r="B44" s="37" t="s">
        <v>546</v>
      </c>
      <c r="C44" s="102">
        <f>SUM(CORPcf!D13:Q13)-SUM(D44:Q44)</f>
        <v>0</v>
      </c>
      <c r="D44" s="103">
        <f>CORPcf!D13</f>
        <v>0</v>
      </c>
      <c r="E44" s="103">
        <f>CORPcf!E13</f>
        <v>0</v>
      </c>
      <c r="F44" s="103">
        <f>CORPcf!F13</f>
        <v>0</v>
      </c>
      <c r="G44" s="103">
        <f>CORPcf!G13</f>
        <v>0</v>
      </c>
      <c r="H44" s="103">
        <f>CORPcf!H13</f>
        <v>0</v>
      </c>
      <c r="I44" s="103">
        <f>CORPcf!I13</f>
        <v>0</v>
      </c>
      <c r="J44" s="103">
        <f>CORPcf!J13</f>
        <v>0</v>
      </c>
      <c r="K44" s="103">
        <f>CORPcf!K13</f>
        <v>0</v>
      </c>
      <c r="L44" s="103">
        <f>CORPcf!L13</f>
        <v>0</v>
      </c>
      <c r="M44" s="103">
        <f>CORPcf!M13</f>
        <v>0</v>
      </c>
      <c r="N44" s="103">
        <f>CORPcf!N13</f>
        <v>0</v>
      </c>
      <c r="O44" s="103">
        <f>CORPcf!O13</f>
        <v>0</v>
      </c>
      <c r="P44" s="103">
        <f>CORPcf!P13</f>
        <v>0</v>
      </c>
      <c r="Q44" s="103">
        <f>CORPcf!Q13</f>
        <v>0</v>
      </c>
      <c r="R44"/>
    </row>
    <row r="45" spans="1:18" s="97" customFormat="1" hidden="1" outlineLevel="1" x14ac:dyDescent="0.25">
      <c r="B45" s="37"/>
      <c r="C45" s="91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/>
    </row>
    <row r="46" spans="1:18" s="37" customFormat="1" collapsed="1" x14ac:dyDescent="0.25">
      <c r="B46" s="37" t="s">
        <v>30</v>
      </c>
      <c r="C46" s="100">
        <f>SUM(D47:Q49)-SUM(D46:Q46)</f>
        <v>0</v>
      </c>
      <c r="D46" s="101">
        <f t="shared" ref="D46:Q46" si="8">SUM(D47:D49)</f>
        <v>0</v>
      </c>
      <c r="E46" s="101">
        <f t="shared" si="8"/>
        <v>0</v>
      </c>
      <c r="F46" s="101">
        <f t="shared" si="8"/>
        <v>0</v>
      </c>
      <c r="G46" s="101">
        <f t="shared" si="8"/>
        <v>0</v>
      </c>
      <c r="H46" s="101">
        <f t="shared" si="8"/>
        <v>0</v>
      </c>
      <c r="I46" s="101">
        <f t="shared" si="8"/>
        <v>0</v>
      </c>
      <c r="J46" s="101">
        <f t="shared" si="8"/>
        <v>0</v>
      </c>
      <c r="K46" s="101">
        <f t="shared" si="8"/>
        <v>0</v>
      </c>
      <c r="L46" s="101">
        <f t="shared" si="8"/>
        <v>0</v>
      </c>
      <c r="M46" s="101">
        <f t="shared" si="8"/>
        <v>0</v>
      </c>
      <c r="N46" s="101">
        <f t="shared" si="8"/>
        <v>0</v>
      </c>
      <c r="O46" s="101">
        <f t="shared" si="8"/>
        <v>0</v>
      </c>
      <c r="P46" s="101">
        <f t="shared" si="8"/>
        <v>0</v>
      </c>
      <c r="Q46" s="101">
        <f t="shared" si="8"/>
        <v>0</v>
      </c>
      <c r="R46"/>
    </row>
    <row r="47" spans="1:18" s="37" customFormat="1" hidden="1" outlineLevel="1" x14ac:dyDescent="0.25">
      <c r="B47" s="37" t="s">
        <v>544</v>
      </c>
      <c r="C47" s="102">
        <f>SUM(Biz1cf!D14:Q14)-SUM(D47:Q47)</f>
        <v>0</v>
      </c>
      <c r="D47" s="103">
        <f>Biz1cf!D14</f>
        <v>0</v>
      </c>
      <c r="E47" s="103">
        <f>Biz1cf!E14</f>
        <v>0</v>
      </c>
      <c r="F47" s="103">
        <f>Biz1cf!F14</f>
        <v>0</v>
      </c>
      <c r="G47" s="103">
        <f>Biz1cf!G14</f>
        <v>0</v>
      </c>
      <c r="H47" s="103">
        <f>Biz1cf!H14</f>
        <v>0</v>
      </c>
      <c r="I47" s="103">
        <f>Biz1cf!I14</f>
        <v>0</v>
      </c>
      <c r="J47" s="103">
        <f>Biz1cf!J14</f>
        <v>0</v>
      </c>
      <c r="K47" s="103">
        <f>Biz1cf!K14</f>
        <v>0</v>
      </c>
      <c r="L47" s="103">
        <f>Biz1cf!L14</f>
        <v>0</v>
      </c>
      <c r="M47" s="103">
        <f>Biz1cf!M14</f>
        <v>0</v>
      </c>
      <c r="N47" s="103">
        <f>Biz1cf!N14</f>
        <v>0</v>
      </c>
      <c r="O47" s="103">
        <f>Biz1cf!O14</f>
        <v>0</v>
      </c>
      <c r="P47" s="103">
        <f>Biz1cf!P14</f>
        <v>0</v>
      </c>
      <c r="Q47" s="103">
        <f>Biz1cf!Q14</f>
        <v>0</v>
      </c>
      <c r="R47"/>
    </row>
    <row r="48" spans="1:18" s="37" customFormat="1" hidden="1" outlineLevel="1" x14ac:dyDescent="0.25">
      <c r="B48" s="37" t="s">
        <v>545</v>
      </c>
      <c r="C48" s="102">
        <f>SUM(Biz2cf!D14:Q14)-SUM(D48:Q48)</f>
        <v>0</v>
      </c>
      <c r="D48" s="103">
        <f>Biz2cf!D14</f>
        <v>0</v>
      </c>
      <c r="E48" s="103">
        <f>Biz2cf!E14</f>
        <v>0</v>
      </c>
      <c r="F48" s="103">
        <f>Biz2cf!F14</f>
        <v>0</v>
      </c>
      <c r="G48" s="103">
        <f>Biz2cf!G14</f>
        <v>0</v>
      </c>
      <c r="H48" s="103">
        <f>Biz2cf!H14</f>
        <v>0</v>
      </c>
      <c r="I48" s="103">
        <f>Biz2cf!I14</f>
        <v>0</v>
      </c>
      <c r="J48" s="103">
        <f>Biz2cf!J14</f>
        <v>0</v>
      </c>
      <c r="K48" s="103">
        <f>Biz2cf!K14</f>
        <v>0</v>
      </c>
      <c r="L48" s="103">
        <f>Biz2cf!L14</f>
        <v>0</v>
      </c>
      <c r="M48" s="103">
        <f>Biz2cf!M14</f>
        <v>0</v>
      </c>
      <c r="N48" s="103">
        <f>Biz2cf!N14</f>
        <v>0</v>
      </c>
      <c r="O48" s="103">
        <f>Biz2cf!O14</f>
        <v>0</v>
      </c>
      <c r="P48" s="103">
        <f>Biz2cf!P14</f>
        <v>0</v>
      </c>
      <c r="Q48" s="103">
        <f>Biz2cf!Q14</f>
        <v>0</v>
      </c>
      <c r="R48"/>
    </row>
    <row r="49" spans="1:18" s="37" customFormat="1" hidden="1" outlineLevel="1" x14ac:dyDescent="0.25">
      <c r="B49" s="37" t="s">
        <v>546</v>
      </c>
      <c r="C49" s="102">
        <f>SUM(CORPcf!D14:Q14)-SUM(D49:Q49)</f>
        <v>0</v>
      </c>
      <c r="D49" s="103">
        <f>CORPcf!D14</f>
        <v>0</v>
      </c>
      <c r="E49" s="103">
        <f>CORPcf!E14</f>
        <v>0</v>
      </c>
      <c r="F49" s="103">
        <f>CORPcf!F14</f>
        <v>0</v>
      </c>
      <c r="G49" s="103">
        <f>CORPcf!G14</f>
        <v>0</v>
      </c>
      <c r="H49" s="103">
        <f>CORPcf!H14</f>
        <v>0</v>
      </c>
      <c r="I49" s="103">
        <f>CORPcf!I14</f>
        <v>0</v>
      </c>
      <c r="J49" s="103">
        <f>CORPcf!J14</f>
        <v>0</v>
      </c>
      <c r="K49" s="103">
        <f>CORPcf!K14</f>
        <v>0</v>
      </c>
      <c r="L49" s="103">
        <f>CORPcf!L14</f>
        <v>0</v>
      </c>
      <c r="M49" s="103">
        <f>CORPcf!M14</f>
        <v>0</v>
      </c>
      <c r="N49" s="103">
        <f>CORPcf!N14</f>
        <v>0</v>
      </c>
      <c r="O49" s="103">
        <f>CORPcf!O14</f>
        <v>0</v>
      </c>
      <c r="P49" s="103">
        <f>CORPcf!P14</f>
        <v>0</v>
      </c>
      <c r="Q49" s="103">
        <f>CORPcf!Q14</f>
        <v>0</v>
      </c>
      <c r="R49"/>
    </row>
    <row r="50" spans="1:18" s="97" customFormat="1" hidden="1" outlineLevel="1" x14ac:dyDescent="0.25">
      <c r="B50" s="37"/>
      <c r="C50" s="91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/>
    </row>
    <row r="51" spans="1:18" s="37" customFormat="1" collapsed="1" x14ac:dyDescent="0.25">
      <c r="B51" s="37" t="s">
        <v>97</v>
      </c>
      <c r="C51" s="100">
        <f>SUM(D52:Q54)-SUM(D51:Q51)</f>
        <v>0</v>
      </c>
      <c r="D51" s="101">
        <f t="shared" ref="D51:Q51" si="9">SUM(D52:D54)</f>
        <v>0</v>
      </c>
      <c r="E51" s="101">
        <f t="shared" si="9"/>
        <v>2159</v>
      </c>
      <c r="F51" s="101">
        <f t="shared" si="9"/>
        <v>6223</v>
      </c>
      <c r="G51" s="101">
        <f t="shared" si="9"/>
        <v>8065.5596788374241</v>
      </c>
      <c r="H51" s="101">
        <f t="shared" si="9"/>
        <v>7606.0336797387863</v>
      </c>
      <c r="I51" s="101">
        <f t="shared" si="9"/>
        <v>0</v>
      </c>
      <c r="J51" s="101">
        <f t="shared" si="9"/>
        <v>0</v>
      </c>
      <c r="K51" s="101">
        <f t="shared" si="9"/>
        <v>0</v>
      </c>
      <c r="L51" s="101">
        <f t="shared" si="9"/>
        <v>0</v>
      </c>
      <c r="M51" s="101">
        <f t="shared" si="9"/>
        <v>3426.6689999999944</v>
      </c>
      <c r="N51" s="101">
        <f t="shared" si="9"/>
        <v>3280.7200000000012</v>
      </c>
      <c r="O51" s="101">
        <f t="shared" si="9"/>
        <v>3432.8040000000037</v>
      </c>
      <c r="P51" s="101">
        <f t="shared" si="9"/>
        <v>0</v>
      </c>
      <c r="Q51" s="101">
        <f t="shared" si="9"/>
        <v>0</v>
      </c>
      <c r="R51"/>
    </row>
    <row r="52" spans="1:18" s="37" customFormat="1" hidden="1" outlineLevel="1" x14ac:dyDescent="0.25">
      <c r="B52" s="37" t="s">
        <v>544</v>
      </c>
      <c r="C52" s="102">
        <f>SUM(Biz1cf!D15:Q15)-SUM(D52:Q52)</f>
        <v>0</v>
      </c>
      <c r="D52" s="103">
        <f>Biz1cf!D15</f>
        <v>0</v>
      </c>
      <c r="E52" s="103">
        <f>Biz1cf!E15</f>
        <v>0</v>
      </c>
      <c r="F52" s="103">
        <f>Biz1cf!F15</f>
        <v>0</v>
      </c>
      <c r="G52" s="103">
        <f>Biz1cf!G15</f>
        <v>0</v>
      </c>
      <c r="H52" s="103">
        <f>Biz1cf!H15</f>
        <v>0</v>
      </c>
      <c r="I52" s="103">
        <f>Biz1cf!I15</f>
        <v>0</v>
      </c>
      <c r="J52" s="103">
        <f>Biz1cf!J15</f>
        <v>0</v>
      </c>
      <c r="K52" s="103">
        <f>Biz1cf!K15</f>
        <v>0</v>
      </c>
      <c r="L52" s="103">
        <f>Biz1cf!L15</f>
        <v>0</v>
      </c>
      <c r="M52" s="103">
        <f>Biz1cf!M15</f>
        <v>0</v>
      </c>
      <c r="N52" s="103">
        <f>Biz1cf!N15</f>
        <v>0</v>
      </c>
      <c r="O52" s="103">
        <f>Biz1cf!O15</f>
        <v>0</v>
      </c>
      <c r="P52" s="103">
        <f>Biz1cf!P15</f>
        <v>0</v>
      </c>
      <c r="Q52" s="103">
        <f>Biz1cf!Q15</f>
        <v>0</v>
      </c>
      <c r="R52"/>
    </row>
    <row r="53" spans="1:18" s="37" customFormat="1" hidden="1" outlineLevel="1" x14ac:dyDescent="0.25">
      <c r="B53" s="37" t="s">
        <v>545</v>
      </c>
      <c r="C53" s="102">
        <f>SUM(Biz2cf!D15:Q15)-SUM(D53:Q53)</f>
        <v>0</v>
      </c>
      <c r="D53" s="103">
        <f>Biz2cf!D15</f>
        <v>0</v>
      </c>
      <c r="E53" s="103">
        <f>Biz2cf!E15</f>
        <v>0</v>
      </c>
      <c r="F53" s="103">
        <f>Biz2cf!F15</f>
        <v>0</v>
      </c>
      <c r="G53" s="103">
        <f>Biz2cf!G15</f>
        <v>0</v>
      </c>
      <c r="H53" s="103">
        <f>Biz2cf!H15</f>
        <v>0</v>
      </c>
      <c r="I53" s="103">
        <f>Biz2cf!I15</f>
        <v>0</v>
      </c>
      <c r="J53" s="103">
        <f>Biz2cf!J15</f>
        <v>0</v>
      </c>
      <c r="K53" s="103">
        <f>Biz2cf!K15</f>
        <v>0</v>
      </c>
      <c r="L53" s="103">
        <f>Biz2cf!L15</f>
        <v>0</v>
      </c>
      <c r="M53" s="103">
        <f>Biz2cf!M15</f>
        <v>0</v>
      </c>
      <c r="N53" s="103">
        <f>Biz2cf!N15</f>
        <v>0</v>
      </c>
      <c r="O53" s="103">
        <f>Biz2cf!O15</f>
        <v>0</v>
      </c>
      <c r="P53" s="103">
        <f>Biz2cf!P15</f>
        <v>0</v>
      </c>
      <c r="Q53" s="103">
        <f>Biz2cf!Q15</f>
        <v>0</v>
      </c>
      <c r="R53"/>
    </row>
    <row r="54" spans="1:18" s="37" customFormat="1" hidden="1" outlineLevel="1" x14ac:dyDescent="0.25">
      <c r="B54" s="37" t="s">
        <v>546</v>
      </c>
      <c r="C54" s="102">
        <f>SUM(CORPcf!D15:Q15)-SUM(D54:Q54)</f>
        <v>0</v>
      </c>
      <c r="D54" s="103">
        <f>CORPcf!D15</f>
        <v>0</v>
      </c>
      <c r="E54" s="103">
        <f>CORPcf!E15</f>
        <v>2159</v>
      </c>
      <c r="F54" s="103">
        <f>CORPcf!F15</f>
        <v>6223</v>
      </c>
      <c r="G54" s="103">
        <f>CORPcf!G15</f>
        <v>8065.5596788374241</v>
      </c>
      <c r="H54" s="103">
        <f>CORPcf!H15</f>
        <v>7606.0336797387863</v>
      </c>
      <c r="I54" s="103">
        <f>CORPcf!I15</f>
        <v>0</v>
      </c>
      <c r="J54" s="103">
        <f>CORPcf!J15</f>
        <v>0</v>
      </c>
      <c r="K54" s="103">
        <f>CORPcf!K15</f>
        <v>0</v>
      </c>
      <c r="L54" s="103">
        <f>CORPcf!L15</f>
        <v>0</v>
      </c>
      <c r="M54" s="103">
        <f>CORPcf!M15</f>
        <v>3426.6689999999944</v>
      </c>
      <c r="N54" s="103">
        <f>CORPcf!N15</f>
        <v>3280.7200000000012</v>
      </c>
      <c r="O54" s="103">
        <f>CORPcf!O15</f>
        <v>3432.8040000000037</v>
      </c>
      <c r="P54" s="103">
        <f>CORPcf!P15</f>
        <v>0</v>
      </c>
      <c r="Q54" s="103">
        <f>CORPcf!Q15</f>
        <v>0</v>
      </c>
      <c r="R54"/>
    </row>
    <row r="55" spans="1:18" s="97" customFormat="1" hidden="1" outlineLevel="1" x14ac:dyDescent="0.25">
      <c r="B55" s="37"/>
      <c r="C55" s="91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/>
    </row>
    <row r="56" spans="1:18" s="97" customFormat="1" collapsed="1" x14ac:dyDescent="0.25">
      <c r="A56" s="104" t="s">
        <v>63</v>
      </c>
      <c r="B56" s="37"/>
      <c r="C56" s="91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/>
    </row>
    <row r="57" spans="1:18" s="37" customFormat="1" x14ac:dyDescent="0.25">
      <c r="B57" s="37" t="s">
        <v>124</v>
      </c>
      <c r="C57" s="100">
        <f>SUM(D58:Q60)-SUM(D57:Q57)</f>
        <v>0</v>
      </c>
      <c r="D57" s="101">
        <f t="shared" ref="D57:Q57" si="10">SUM(D58:D60)</f>
        <v>0</v>
      </c>
      <c r="E57" s="101">
        <f t="shared" si="10"/>
        <v>-75061.117130080165</v>
      </c>
      <c r="F57" s="101">
        <f t="shared" si="10"/>
        <v>-7502.5746673297472</v>
      </c>
      <c r="G57" s="101">
        <f t="shared" si="10"/>
        <v>83407.564023768035</v>
      </c>
      <c r="H57" s="101">
        <f t="shared" si="10"/>
        <v>40497.573662969859</v>
      </c>
      <c r="I57" s="101">
        <f t="shared" si="10"/>
        <v>-19460.420431170147</v>
      </c>
      <c r="J57" s="101">
        <f t="shared" si="10"/>
        <v>0</v>
      </c>
      <c r="K57" s="101">
        <f t="shared" si="10"/>
        <v>0</v>
      </c>
      <c r="L57" s="101">
        <f t="shared" si="10"/>
        <v>0</v>
      </c>
      <c r="M57" s="101">
        <f t="shared" si="10"/>
        <v>20052.116872824612</v>
      </c>
      <c r="N57" s="101">
        <f t="shared" si="10"/>
        <v>26374.108495088461</v>
      </c>
      <c r="O57" s="101">
        <f t="shared" si="10"/>
        <v>7400.4251310577893</v>
      </c>
      <c r="P57" s="101">
        <f t="shared" si="10"/>
        <v>-3144.8254186358099</v>
      </c>
      <c r="Q57" s="101">
        <f t="shared" si="10"/>
        <v>-6621.4304974778352</v>
      </c>
      <c r="R57"/>
    </row>
    <row r="58" spans="1:18" s="37" customFormat="1" hidden="1" outlineLevel="1" x14ac:dyDescent="0.25">
      <c r="B58" s="37" t="s">
        <v>544</v>
      </c>
      <c r="C58" s="102">
        <f>SUM(Biz1cf!D17:Q17)-SUM(D58:Q58)</f>
        <v>0</v>
      </c>
      <c r="D58" s="103">
        <f>Biz1cf!D17</f>
        <v>0</v>
      </c>
      <c r="E58" s="103">
        <f>Biz1cf!E17</f>
        <v>-50897.214111175228</v>
      </c>
      <c r="F58" s="103">
        <f>Biz1cf!F17</f>
        <v>-2517.5453052688172</v>
      </c>
      <c r="G58" s="103">
        <f>Biz1cf!G17</f>
        <v>84681.353891699895</v>
      </c>
      <c r="H58" s="103">
        <f>Biz1cf!H17</f>
        <v>34884.991199787488</v>
      </c>
      <c r="I58" s="103">
        <f>Biz1cf!I17</f>
        <v>-19460.420431170147</v>
      </c>
      <c r="J58" s="103">
        <f>Biz1cf!J17</f>
        <v>0</v>
      </c>
      <c r="K58" s="103">
        <f>Biz1cf!K17</f>
        <v>0</v>
      </c>
      <c r="L58" s="103">
        <f>Biz1cf!L17</f>
        <v>0</v>
      </c>
      <c r="M58" s="103">
        <f>Biz1cf!M17</f>
        <v>17646.393020778778</v>
      </c>
      <c r="N58" s="103">
        <f>Biz1cf!N17</f>
        <v>25702.556346095982</v>
      </c>
      <c r="O58" s="103">
        <f>Biz1cf!O17</f>
        <v>6737.6616753669805</v>
      </c>
      <c r="P58" s="103">
        <f>Biz1cf!P17</f>
        <v>-3470.2566454298503</v>
      </c>
      <c r="Q58" s="103">
        <f>Biz1cf!Q17</f>
        <v>-6283.1605824630533</v>
      </c>
      <c r="R58"/>
    </row>
    <row r="59" spans="1:18" s="37" customFormat="1" hidden="1" outlineLevel="1" x14ac:dyDescent="0.25">
      <c r="B59" s="37" t="s">
        <v>545</v>
      </c>
      <c r="C59" s="102">
        <f>SUM(Biz2cf!D17:Q17)-SUM(D59:Q59)</f>
        <v>0</v>
      </c>
      <c r="D59" s="103">
        <f>Biz2cf!D17</f>
        <v>0</v>
      </c>
      <c r="E59" s="103">
        <f>Biz2cf!E17</f>
        <v>-24163.903018904937</v>
      </c>
      <c r="F59" s="103">
        <f>Biz2cf!F17</f>
        <v>-4985.02936206093</v>
      </c>
      <c r="G59" s="103">
        <f>Biz2cf!G17</f>
        <v>-1273.7898679318569</v>
      </c>
      <c r="H59" s="103">
        <f>Biz2cf!H17</f>
        <v>5612.5824631823707</v>
      </c>
      <c r="I59" s="103">
        <f>Biz2cf!I17</f>
        <v>0</v>
      </c>
      <c r="J59" s="103">
        <f>Biz2cf!J17</f>
        <v>0</v>
      </c>
      <c r="K59" s="103">
        <f>Biz2cf!K17</f>
        <v>0</v>
      </c>
      <c r="L59" s="103">
        <f>Biz2cf!L17</f>
        <v>0</v>
      </c>
      <c r="M59" s="103">
        <f>Biz2cf!M17</f>
        <v>2405.7238520458341</v>
      </c>
      <c r="N59" s="103">
        <f>Biz2cf!N17</f>
        <v>671.55214899247949</v>
      </c>
      <c r="O59" s="103">
        <f>Biz2cf!O17</f>
        <v>662.76345569080877</v>
      </c>
      <c r="P59" s="103">
        <f>Biz2cf!P17</f>
        <v>325.43122679404041</v>
      </c>
      <c r="Q59" s="103">
        <f>Biz2cf!Q17</f>
        <v>-338.26991501478187</v>
      </c>
      <c r="R59"/>
    </row>
    <row r="60" spans="1:18" s="37" customFormat="1" hidden="1" outlineLevel="1" x14ac:dyDescent="0.25">
      <c r="B60" s="37" t="s">
        <v>546</v>
      </c>
      <c r="C60" s="102">
        <f>SUM(CORPcf!D17:Q17)-SUM(D60:Q60)</f>
        <v>0</v>
      </c>
      <c r="D60" s="103">
        <f>CORPcf!D17</f>
        <v>0</v>
      </c>
      <c r="E60" s="103">
        <f>CORPcf!E17</f>
        <v>0</v>
      </c>
      <c r="F60" s="103">
        <f>CORPcf!F17</f>
        <v>0</v>
      </c>
      <c r="G60" s="103">
        <f>CORPcf!G17</f>
        <v>0</v>
      </c>
      <c r="H60" s="103">
        <f>CORPcf!H17</f>
        <v>0</v>
      </c>
      <c r="I60" s="103">
        <f>CORPcf!I17</f>
        <v>0</v>
      </c>
      <c r="J60" s="103">
        <f>CORPcf!J17</f>
        <v>0</v>
      </c>
      <c r="K60" s="103">
        <f>CORPcf!K17</f>
        <v>0</v>
      </c>
      <c r="L60" s="103">
        <f>CORPcf!L17</f>
        <v>0</v>
      </c>
      <c r="M60" s="103">
        <f>CORPcf!M17</f>
        <v>0</v>
      </c>
      <c r="N60" s="103">
        <f>CORPcf!N17</f>
        <v>0</v>
      </c>
      <c r="O60" s="103">
        <f>CORPcf!O17</f>
        <v>0</v>
      </c>
      <c r="P60" s="103">
        <f>CORPcf!P17</f>
        <v>0</v>
      </c>
      <c r="Q60" s="103">
        <f>CORPcf!Q17</f>
        <v>0</v>
      </c>
      <c r="R60"/>
    </row>
    <row r="61" spans="1:18" s="97" customFormat="1" hidden="1" outlineLevel="1" x14ac:dyDescent="0.25">
      <c r="B61" s="37"/>
      <c r="C61" s="91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/>
    </row>
    <row r="62" spans="1:18" s="37" customFormat="1" collapsed="1" x14ac:dyDescent="0.25">
      <c r="B62" s="37" t="s">
        <v>41</v>
      </c>
      <c r="C62" s="100">
        <f>SUM(D63:Q65)-SUM(D62:Q62)</f>
        <v>0</v>
      </c>
      <c r="D62" s="101">
        <f t="shared" ref="D62:Q62" si="11">SUM(D63:D65)</f>
        <v>0</v>
      </c>
      <c r="E62" s="101">
        <f t="shared" si="11"/>
        <v>-2228</v>
      </c>
      <c r="F62" s="101">
        <f t="shared" si="11"/>
        <v>-6298.4</v>
      </c>
      <c r="G62" s="101">
        <f t="shared" si="11"/>
        <v>-1691.8000000000004</v>
      </c>
      <c r="H62" s="101">
        <f t="shared" si="11"/>
        <v>-1123.8416571804751</v>
      </c>
      <c r="I62" s="101">
        <f t="shared" si="11"/>
        <v>0</v>
      </c>
      <c r="J62" s="101">
        <f t="shared" si="11"/>
        <v>0</v>
      </c>
      <c r="K62" s="101">
        <f t="shared" si="11"/>
        <v>0</v>
      </c>
      <c r="L62" s="101">
        <f t="shared" si="11"/>
        <v>0</v>
      </c>
      <c r="M62" s="101">
        <f t="shared" si="11"/>
        <v>729.33265559038068</v>
      </c>
      <c r="N62" s="101">
        <f t="shared" si="11"/>
        <v>1046.0519809737682</v>
      </c>
      <c r="O62" s="101">
        <f t="shared" si="11"/>
        <v>546.91301104030777</v>
      </c>
      <c r="P62" s="101">
        <f t="shared" si="11"/>
        <v>0</v>
      </c>
      <c r="Q62" s="101">
        <f t="shared" si="11"/>
        <v>0</v>
      </c>
      <c r="R62"/>
    </row>
    <row r="63" spans="1:18" s="37" customFormat="1" hidden="1" outlineLevel="1" x14ac:dyDescent="0.25">
      <c r="B63" s="37" t="s">
        <v>544</v>
      </c>
      <c r="C63" s="102">
        <f>SUM(Biz1cf!D18:Q18)-SUM(D63:Q63)</f>
        <v>0</v>
      </c>
      <c r="D63" s="103">
        <f>Biz1cf!D18</f>
        <v>0</v>
      </c>
      <c r="E63" s="103">
        <f>Biz1cf!E18</f>
        <v>-557</v>
      </c>
      <c r="F63" s="103">
        <f>Biz1cf!F18</f>
        <v>-1574.6</v>
      </c>
      <c r="G63" s="103">
        <f>Biz1cf!G18</f>
        <v>-422.95000000000005</v>
      </c>
      <c r="H63" s="103">
        <f>Biz1cf!H18</f>
        <v>-280.96041429511888</v>
      </c>
      <c r="I63" s="103">
        <f>Biz1cf!I18</f>
        <v>0</v>
      </c>
      <c r="J63" s="103">
        <f>Biz1cf!J18</f>
        <v>0</v>
      </c>
      <c r="K63" s="103">
        <f>Biz1cf!K18</f>
        <v>0</v>
      </c>
      <c r="L63" s="103">
        <f>Biz1cf!L18</f>
        <v>0</v>
      </c>
      <c r="M63" s="103">
        <f>Biz1cf!M18</f>
        <v>182.33316389759534</v>
      </c>
      <c r="N63" s="103">
        <f>Biz1cf!N18</f>
        <v>261.51299524344199</v>
      </c>
      <c r="O63" s="103">
        <f>Biz1cf!O18</f>
        <v>136.72825276007666</v>
      </c>
      <c r="P63" s="103">
        <f>Biz1cf!P18</f>
        <v>0</v>
      </c>
      <c r="Q63" s="103">
        <f>Biz1cf!R18</f>
        <v>0</v>
      </c>
      <c r="R63"/>
    </row>
    <row r="64" spans="1:18" s="37" customFormat="1" hidden="1" outlineLevel="1" x14ac:dyDescent="0.25">
      <c r="B64" s="37" t="s">
        <v>545</v>
      </c>
      <c r="C64" s="102">
        <f>SUM(Biz2cf!D18:Q18)-SUM(D64:Q64)</f>
        <v>0</v>
      </c>
      <c r="D64" s="103">
        <f>Biz2cf!D18</f>
        <v>0</v>
      </c>
      <c r="E64" s="103">
        <f>Biz2cf!E18</f>
        <v>-835.5</v>
      </c>
      <c r="F64" s="103">
        <f>Biz2cf!F18</f>
        <v>-2361.9</v>
      </c>
      <c r="G64" s="103">
        <f>Biz2cf!G18</f>
        <v>-634.42500000000018</v>
      </c>
      <c r="H64" s="103">
        <f>Biz2cf!H18</f>
        <v>-421.44062144267809</v>
      </c>
      <c r="I64" s="103">
        <f>Biz2cf!I18</f>
        <v>0</v>
      </c>
      <c r="J64" s="103">
        <f>Biz2cf!J18</f>
        <v>0</v>
      </c>
      <c r="K64" s="103">
        <f>Biz2cf!K18</f>
        <v>0</v>
      </c>
      <c r="L64" s="103">
        <f>Biz2cf!L18</f>
        <v>0</v>
      </c>
      <c r="M64" s="103">
        <f>Biz2cf!M18</f>
        <v>273.49974584639267</v>
      </c>
      <c r="N64" s="103">
        <f>Biz2cf!N18</f>
        <v>392.2694928651631</v>
      </c>
      <c r="O64" s="103">
        <f>Biz2cf!O18</f>
        <v>205.09237914011555</v>
      </c>
      <c r="P64" s="103">
        <f>Biz2cf!P18</f>
        <v>0</v>
      </c>
      <c r="Q64" s="103">
        <f>Biz2cf!R18</f>
        <v>0</v>
      </c>
      <c r="R64"/>
    </row>
    <row r="65" spans="1:18" s="37" customFormat="1" hidden="1" outlineLevel="1" x14ac:dyDescent="0.25">
      <c r="B65" s="37" t="s">
        <v>546</v>
      </c>
      <c r="C65" s="102">
        <f>SUM(CORPcf!D18:Q18)-SUM(D65:Q65)</f>
        <v>0</v>
      </c>
      <c r="D65" s="103">
        <f>CORPcf!D18</f>
        <v>0</v>
      </c>
      <c r="E65" s="103">
        <f>CORPcf!E18</f>
        <v>-835.5</v>
      </c>
      <c r="F65" s="103">
        <f>CORPcf!F18</f>
        <v>-2361.9</v>
      </c>
      <c r="G65" s="103">
        <f>CORPcf!G18</f>
        <v>-634.42500000000018</v>
      </c>
      <c r="H65" s="103">
        <f>CORPcf!H18</f>
        <v>-421.44062144267809</v>
      </c>
      <c r="I65" s="103">
        <f>CORPcf!I18</f>
        <v>0</v>
      </c>
      <c r="J65" s="103">
        <f>CORPcf!J18</f>
        <v>0</v>
      </c>
      <c r="K65" s="103">
        <f>CORPcf!K18</f>
        <v>0</v>
      </c>
      <c r="L65" s="103">
        <f>CORPcf!L18</f>
        <v>0</v>
      </c>
      <c r="M65" s="103">
        <f>CORPcf!M18</f>
        <v>273.49974584639267</v>
      </c>
      <c r="N65" s="103">
        <f>CORPcf!N18</f>
        <v>392.2694928651631</v>
      </c>
      <c r="O65" s="103">
        <f>CORPcf!O18</f>
        <v>205.09237914011555</v>
      </c>
      <c r="P65" s="103">
        <f>CORPcf!P18</f>
        <v>0</v>
      </c>
      <c r="Q65" s="103">
        <f>CORPcf!R18</f>
        <v>0</v>
      </c>
      <c r="R65"/>
    </row>
    <row r="66" spans="1:18" s="97" customFormat="1" hidden="1" outlineLevel="1" x14ac:dyDescent="0.25">
      <c r="B66" s="37"/>
      <c r="C66" s="91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/>
    </row>
    <row r="67" spans="1:18" s="106" customFormat="1" collapsed="1" x14ac:dyDescent="0.25">
      <c r="A67" s="1" t="s">
        <v>64</v>
      </c>
      <c r="B67" s="37"/>
      <c r="C67" s="100">
        <f>SUM(D68:Q70)-SUM(D67:Q67)</f>
        <v>0</v>
      </c>
      <c r="D67" s="105">
        <f t="shared" ref="D67:Q67" si="12">SUM(D68:D70)</f>
        <v>-56078.278999999995</v>
      </c>
      <c r="E67" s="105">
        <f t="shared" si="12"/>
        <v>-47500.848152356091</v>
      </c>
      <c r="F67" s="105">
        <f t="shared" si="12"/>
        <v>-53599.645452317418</v>
      </c>
      <c r="G67" s="105">
        <f t="shared" si="12"/>
        <v>-20620.184057316441</v>
      </c>
      <c r="H67" s="105">
        <f t="shared" si="12"/>
        <v>27227.627339409486</v>
      </c>
      <c r="I67" s="105">
        <f t="shared" si="12"/>
        <v>-1496.8848890891613</v>
      </c>
      <c r="J67" s="105">
        <f t="shared" si="12"/>
        <v>-249.35535592390352</v>
      </c>
      <c r="K67" s="105">
        <f t="shared" si="12"/>
        <v>-249.35535592390352</v>
      </c>
      <c r="L67" s="105">
        <f t="shared" si="12"/>
        <v>-249.35535592390352</v>
      </c>
      <c r="M67" s="105">
        <f t="shared" si="12"/>
        <v>-36040.046192943337</v>
      </c>
      <c r="N67" s="105">
        <f t="shared" si="12"/>
        <v>13657.388695397553</v>
      </c>
      <c r="O67" s="105">
        <f t="shared" si="12"/>
        <v>5355.9907046295266</v>
      </c>
      <c r="P67" s="105">
        <f t="shared" si="12"/>
        <v>8148.2084856482543</v>
      </c>
      <c r="Q67" s="105">
        <f t="shared" si="12"/>
        <v>-9507.9000470484534</v>
      </c>
      <c r="R67"/>
    </row>
    <row r="68" spans="1:18" s="52" customFormat="1" hidden="1" outlineLevel="1" x14ac:dyDescent="0.25">
      <c r="B68" s="53" t="s">
        <v>544</v>
      </c>
      <c r="C68" s="107"/>
      <c r="D68" s="54">
        <f t="shared" ref="D68:Q68" si="13">SUM(D6,D11,D16,D21,D26,D31,D37,D42,D47,D52,D58,D63)</f>
        <v>-17631.905000000006</v>
      </c>
      <c r="E68" s="54">
        <f t="shared" si="13"/>
        <v>-23637.872486580793</v>
      </c>
      <c r="F68" s="54">
        <f t="shared" si="13"/>
        <v>-17267.315412741016</v>
      </c>
      <c r="G68" s="54">
        <f t="shared" si="13"/>
        <v>-89.827382354243355</v>
      </c>
      <c r="H68" s="54">
        <f t="shared" si="13"/>
        <v>43968.65808406526</v>
      </c>
      <c r="I68" s="54">
        <f t="shared" si="13"/>
        <v>5302.3793603247032</v>
      </c>
      <c r="J68" s="54">
        <f t="shared" si="13"/>
        <v>6549.908893489961</v>
      </c>
      <c r="K68" s="54">
        <f t="shared" si="13"/>
        <v>6549.908893489961</v>
      </c>
      <c r="L68" s="54">
        <f t="shared" si="13"/>
        <v>6549.908893489961</v>
      </c>
      <c r="M68" s="54">
        <f t="shared" si="13"/>
        <v>-4578.1713610911966</v>
      </c>
      <c r="N68" s="54">
        <f t="shared" si="13"/>
        <v>40436.895414452047</v>
      </c>
      <c r="O68" s="54">
        <f t="shared" si="13"/>
        <v>35074.581811470292</v>
      </c>
      <c r="P68" s="54">
        <f t="shared" si="13"/>
        <v>41228.593757521281</v>
      </c>
      <c r="Q68" s="54">
        <f t="shared" si="13"/>
        <v>24236.186366633396</v>
      </c>
      <c r="R68"/>
    </row>
    <row r="69" spans="1:18" s="52" customFormat="1" hidden="1" outlineLevel="1" x14ac:dyDescent="0.25">
      <c r="B69" s="53" t="s">
        <v>545</v>
      </c>
      <c r="C69" s="107"/>
      <c r="D69" s="54">
        <f t="shared" ref="D69:Q69" si="14">SUM(D7,D12,D17,D22,D27,D32,D38,D43,D48,D53,D59,D64)</f>
        <v>-3423.0640000000017</v>
      </c>
      <c r="E69" s="54">
        <f t="shared" si="14"/>
        <v>6588.7003342246971</v>
      </c>
      <c r="F69" s="54">
        <f t="shared" si="14"/>
        <v>1252.6489604235953</v>
      </c>
      <c r="G69" s="54">
        <f t="shared" si="14"/>
        <v>-1134.1793537996307</v>
      </c>
      <c r="H69" s="54">
        <f t="shared" si="14"/>
        <v>3440.8746089991341</v>
      </c>
      <c r="I69" s="54">
        <f t="shared" si="14"/>
        <v>567.91565186559922</v>
      </c>
      <c r="J69" s="54">
        <f t="shared" si="14"/>
        <v>567.91565186559922</v>
      </c>
      <c r="K69" s="54">
        <f t="shared" si="14"/>
        <v>567.91565186559922</v>
      </c>
      <c r="L69" s="54">
        <f t="shared" si="14"/>
        <v>567.91565186559922</v>
      </c>
      <c r="M69" s="54">
        <f t="shared" si="14"/>
        <v>-2393.3239725806693</v>
      </c>
      <c r="N69" s="54">
        <f t="shared" si="14"/>
        <v>4190.7113716062959</v>
      </c>
      <c r="O69" s="54">
        <f t="shared" si="14"/>
        <v>2531.7065889766891</v>
      </c>
      <c r="P69" s="54">
        <f t="shared" si="14"/>
        <v>2807.808803084547</v>
      </c>
      <c r="Q69" s="54">
        <f t="shared" si="14"/>
        <v>2144.1076612757247</v>
      </c>
      <c r="R69"/>
    </row>
    <row r="70" spans="1:18" s="52" customFormat="1" hidden="1" outlineLevel="1" x14ac:dyDescent="0.25">
      <c r="B70" s="53" t="s">
        <v>546</v>
      </c>
      <c r="C70" s="107"/>
      <c r="D70" s="54">
        <f t="shared" ref="D70:Q70" si="15">SUM(D8,D13,D18,D23,D28,D33,D39,D44,D49,D54,D60,D65)</f>
        <v>-35023.30999999999</v>
      </c>
      <c r="E70" s="54">
        <f t="shared" si="15"/>
        <v>-30451.675999999992</v>
      </c>
      <c r="F70" s="54">
        <f t="shared" si="15"/>
        <v>-37584.978999999999</v>
      </c>
      <c r="G70" s="54">
        <f t="shared" si="15"/>
        <v>-19396.177321162566</v>
      </c>
      <c r="H70" s="54">
        <f t="shared" si="15"/>
        <v>-20181.905353654907</v>
      </c>
      <c r="I70" s="54">
        <f t="shared" si="15"/>
        <v>-7367.1799012794636</v>
      </c>
      <c r="J70" s="54">
        <f t="shared" si="15"/>
        <v>-7367.1799012794636</v>
      </c>
      <c r="K70" s="54">
        <f t="shared" si="15"/>
        <v>-7367.1799012794636</v>
      </c>
      <c r="L70" s="54">
        <f t="shared" si="15"/>
        <v>-7367.1799012794636</v>
      </c>
      <c r="M70" s="54">
        <f t="shared" si="15"/>
        <v>-29068.550859271469</v>
      </c>
      <c r="N70" s="54">
        <f t="shared" si="15"/>
        <v>-30970.21809066079</v>
      </c>
      <c r="O70" s="54">
        <f t="shared" si="15"/>
        <v>-32250.297695817455</v>
      </c>
      <c r="P70" s="54">
        <f t="shared" si="15"/>
        <v>-35888.194074957573</v>
      </c>
      <c r="Q70" s="54">
        <f t="shared" si="15"/>
        <v>-35888.194074957573</v>
      </c>
      <c r="R70"/>
    </row>
    <row r="71" spans="1:18" s="14" customFormat="1" hidden="1" outlineLevel="1" x14ac:dyDescent="0.25">
      <c r="B71" s="44"/>
      <c r="C71" s="2"/>
      <c r="H71" s="31"/>
      <c r="M71" s="31"/>
      <c r="N71" s="31"/>
      <c r="O71" s="31"/>
      <c r="P71" s="31"/>
      <c r="Q71" s="31"/>
      <c r="R71"/>
    </row>
    <row r="72" spans="1:18" s="45" customFormat="1" collapsed="1" x14ac:dyDescent="0.25">
      <c r="B72" s="44"/>
      <c r="C72" s="2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/>
    </row>
    <row r="73" spans="1:18" s="113" customFormat="1" x14ac:dyDescent="0.25">
      <c r="A73" s="108" t="s">
        <v>65</v>
      </c>
      <c r="B73" s="44"/>
      <c r="C73" s="2"/>
      <c r="D73" s="109"/>
      <c r="E73" s="109"/>
      <c r="F73" s="109"/>
      <c r="G73" s="110"/>
      <c r="H73" s="111"/>
      <c r="I73" s="112"/>
      <c r="J73" s="112"/>
      <c r="K73" s="112"/>
      <c r="L73" s="112"/>
      <c r="M73" s="111"/>
      <c r="N73" s="111"/>
      <c r="O73" s="111"/>
      <c r="P73" s="111"/>
      <c r="Q73" s="111"/>
      <c r="R73"/>
    </row>
    <row r="74" spans="1:18" s="113" customFormat="1" x14ac:dyDescent="0.25">
      <c r="B74" s="113" t="s">
        <v>66</v>
      </c>
      <c r="C74" s="114">
        <f>SUM(D75:Q77)-SUM(D74:Q74)</f>
        <v>0</v>
      </c>
      <c r="D74" s="115">
        <f t="shared" ref="D74:Q74" si="16">SUM(D75:D77)</f>
        <v>0</v>
      </c>
      <c r="E74" s="116">
        <f t="shared" si="16"/>
        <v>148</v>
      </c>
      <c r="F74" s="116">
        <f t="shared" si="16"/>
        <v>-1442</v>
      </c>
      <c r="G74" s="116">
        <f t="shared" si="16"/>
        <v>552.10500000000002</v>
      </c>
      <c r="H74" s="116">
        <f t="shared" si="16"/>
        <v>0</v>
      </c>
      <c r="I74" s="116">
        <f t="shared" si="16"/>
        <v>0</v>
      </c>
      <c r="J74" s="116">
        <f t="shared" si="16"/>
        <v>0</v>
      </c>
      <c r="K74" s="116">
        <f t="shared" si="16"/>
        <v>0</v>
      </c>
      <c r="L74" s="116">
        <f t="shared" si="16"/>
        <v>0</v>
      </c>
      <c r="M74" s="116">
        <f t="shared" si="16"/>
        <v>0</v>
      </c>
      <c r="N74" s="116">
        <f t="shared" si="16"/>
        <v>0</v>
      </c>
      <c r="O74" s="116">
        <f t="shared" si="16"/>
        <v>0</v>
      </c>
      <c r="P74" s="116">
        <f t="shared" si="16"/>
        <v>0</v>
      </c>
      <c r="Q74" s="116">
        <f t="shared" si="16"/>
        <v>0</v>
      </c>
      <c r="R74"/>
    </row>
    <row r="75" spans="1:18" s="113" customFormat="1" hidden="1" outlineLevel="1" x14ac:dyDescent="0.25">
      <c r="B75" s="113" t="s">
        <v>544</v>
      </c>
      <c r="C75" s="117">
        <f>SUM(Biz1cf!D22:Q22)-SUM(D75:Q75)</f>
        <v>0</v>
      </c>
      <c r="D75" s="118">
        <f>Biz1cf!D22</f>
        <v>0</v>
      </c>
      <c r="E75" s="118">
        <f>Biz1cf!E22</f>
        <v>0</v>
      </c>
      <c r="F75" s="118">
        <f>Biz1cf!F22</f>
        <v>0</v>
      </c>
      <c r="G75" s="118">
        <f>Biz1cf!G22</f>
        <v>0</v>
      </c>
      <c r="H75" s="118">
        <f>Biz1cf!H22</f>
        <v>0</v>
      </c>
      <c r="I75" s="118">
        <f>Biz1cf!I22</f>
        <v>0</v>
      </c>
      <c r="J75" s="118">
        <f>Biz1cf!J22</f>
        <v>0</v>
      </c>
      <c r="K75" s="118">
        <f>Biz1cf!K22</f>
        <v>0</v>
      </c>
      <c r="L75" s="118">
        <f>Biz1cf!L22</f>
        <v>0</v>
      </c>
      <c r="M75" s="118">
        <f>Biz1cf!M22</f>
        <v>0</v>
      </c>
      <c r="N75" s="118">
        <f>Biz1cf!N22</f>
        <v>0</v>
      </c>
      <c r="O75" s="118">
        <f>Biz1cf!O22</f>
        <v>0</v>
      </c>
      <c r="P75" s="118">
        <f>Biz1cf!P22</f>
        <v>0</v>
      </c>
      <c r="Q75" s="118">
        <f>Biz1cf!Q22</f>
        <v>0</v>
      </c>
      <c r="R75"/>
    </row>
    <row r="76" spans="1:18" s="113" customFormat="1" hidden="1" outlineLevel="1" x14ac:dyDescent="0.25">
      <c r="B76" s="113" t="s">
        <v>545</v>
      </c>
      <c r="C76" s="117">
        <f>SUM(Biz2cf!D22:Q22)-SUM(D76:Q76)</f>
        <v>0</v>
      </c>
      <c r="D76" s="118">
        <f>Biz2cf!D22</f>
        <v>0</v>
      </c>
      <c r="E76" s="118">
        <f>Biz2cf!E22</f>
        <v>0</v>
      </c>
      <c r="F76" s="118">
        <f>Biz2cf!F22</f>
        <v>0</v>
      </c>
      <c r="G76" s="118">
        <f>Biz2cf!G22</f>
        <v>0</v>
      </c>
      <c r="H76" s="118">
        <f>Biz2cf!H22</f>
        <v>0</v>
      </c>
      <c r="I76" s="118">
        <f>Biz2cf!I22</f>
        <v>0</v>
      </c>
      <c r="J76" s="118">
        <f>Biz2cf!J22</f>
        <v>0</v>
      </c>
      <c r="K76" s="118">
        <f>Biz2cf!K22</f>
        <v>0</v>
      </c>
      <c r="L76" s="118">
        <f>Biz2cf!L22</f>
        <v>0</v>
      </c>
      <c r="M76" s="118">
        <f>Biz2cf!M22</f>
        <v>0</v>
      </c>
      <c r="N76" s="118">
        <f>Biz2cf!N22</f>
        <v>0</v>
      </c>
      <c r="O76" s="118">
        <f>Biz2cf!O22</f>
        <v>0</v>
      </c>
      <c r="P76" s="118">
        <f>Biz2cf!P22</f>
        <v>0</v>
      </c>
      <c r="Q76" s="118">
        <f>Biz2cf!Q22</f>
        <v>0</v>
      </c>
      <c r="R76"/>
    </row>
    <row r="77" spans="1:18" s="113" customFormat="1" hidden="1" outlineLevel="1" x14ac:dyDescent="0.25">
      <c r="B77" s="113" t="s">
        <v>546</v>
      </c>
      <c r="C77" s="117">
        <f>SUM(CORPcf!D22:Q22)-SUM(D77:Q77)</f>
        <v>0</v>
      </c>
      <c r="D77" s="118">
        <f>CORPcf!D22</f>
        <v>0</v>
      </c>
      <c r="E77" s="118">
        <f>CORPcf!E22</f>
        <v>148</v>
      </c>
      <c r="F77" s="118">
        <f>CORPcf!F22</f>
        <v>-1442</v>
      </c>
      <c r="G77" s="118">
        <f>CORPcf!G22</f>
        <v>552.10500000000002</v>
      </c>
      <c r="H77" s="118">
        <f>CORPcf!H22</f>
        <v>0</v>
      </c>
      <c r="I77" s="118">
        <f>CORPcf!I22</f>
        <v>0</v>
      </c>
      <c r="J77" s="118">
        <f>CORPcf!J22</f>
        <v>0</v>
      </c>
      <c r="K77" s="118">
        <f>CORPcf!K22</f>
        <v>0</v>
      </c>
      <c r="L77" s="118">
        <f>CORPcf!L22</f>
        <v>0</v>
      </c>
      <c r="M77" s="118">
        <f>CORPcf!M22</f>
        <v>0</v>
      </c>
      <c r="N77" s="118">
        <f>CORPcf!N22</f>
        <v>0</v>
      </c>
      <c r="O77" s="118">
        <f>CORPcf!O22</f>
        <v>0</v>
      </c>
      <c r="P77" s="118">
        <f>CORPcf!P22</f>
        <v>0</v>
      </c>
      <c r="Q77" s="118">
        <f>CORPcf!Q22</f>
        <v>0</v>
      </c>
      <c r="R77"/>
    </row>
    <row r="78" spans="1:18" s="119" customFormat="1" hidden="1" outlineLevel="1" x14ac:dyDescent="0.25">
      <c r="B78" s="113"/>
      <c r="C78" s="2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/>
    </row>
    <row r="79" spans="1:18" s="113" customFormat="1" collapsed="1" x14ac:dyDescent="0.25">
      <c r="B79" s="113" t="s">
        <v>67</v>
      </c>
      <c r="C79" s="114">
        <f>SUM(D80:Q82)-SUM(D79:Q79)</f>
        <v>0</v>
      </c>
      <c r="D79" s="115">
        <f t="shared" ref="D79:Q79" si="17">SUM(D80:D82)</f>
        <v>0</v>
      </c>
      <c r="E79" s="116">
        <f t="shared" si="17"/>
        <v>0</v>
      </c>
      <c r="F79" s="116">
        <f t="shared" si="17"/>
        <v>0</v>
      </c>
      <c r="G79" s="116">
        <f t="shared" si="17"/>
        <v>0</v>
      </c>
      <c r="H79" s="116">
        <f t="shared" si="17"/>
        <v>0</v>
      </c>
      <c r="I79" s="116">
        <f t="shared" si="17"/>
        <v>0</v>
      </c>
      <c r="J79" s="116">
        <f t="shared" si="17"/>
        <v>0</v>
      </c>
      <c r="K79" s="116">
        <f t="shared" si="17"/>
        <v>0</v>
      </c>
      <c r="L79" s="116">
        <f t="shared" si="17"/>
        <v>0</v>
      </c>
      <c r="M79" s="116">
        <f t="shared" si="17"/>
        <v>0</v>
      </c>
      <c r="N79" s="116">
        <f t="shared" si="17"/>
        <v>0</v>
      </c>
      <c r="O79" s="116">
        <f t="shared" si="17"/>
        <v>0</v>
      </c>
      <c r="P79" s="116">
        <f t="shared" si="17"/>
        <v>0</v>
      </c>
      <c r="Q79" s="116">
        <f t="shared" si="17"/>
        <v>0</v>
      </c>
      <c r="R79"/>
    </row>
    <row r="80" spans="1:18" s="113" customFormat="1" hidden="1" outlineLevel="1" x14ac:dyDescent="0.25">
      <c r="B80" s="113" t="s">
        <v>544</v>
      </c>
      <c r="C80" s="117">
        <f>SUM(Biz1cf!D23:Q23)-SUM(D80:Q80)</f>
        <v>0</v>
      </c>
      <c r="D80" s="118">
        <f>Biz1cf!D23</f>
        <v>0</v>
      </c>
      <c r="E80" s="118">
        <f>Biz1cf!E23</f>
        <v>0</v>
      </c>
      <c r="F80" s="118">
        <f>Biz1cf!F23</f>
        <v>0</v>
      </c>
      <c r="G80" s="118">
        <f>Biz1cf!G23</f>
        <v>0</v>
      </c>
      <c r="H80" s="118">
        <f>Biz1cf!H23</f>
        <v>0</v>
      </c>
      <c r="I80" s="118">
        <f>Biz1cf!I23</f>
        <v>0</v>
      </c>
      <c r="J80" s="118">
        <f>Biz1cf!J23</f>
        <v>0</v>
      </c>
      <c r="K80" s="118">
        <f>Biz1cf!K23</f>
        <v>0</v>
      </c>
      <c r="L80" s="118">
        <f>Biz1cf!L23</f>
        <v>0</v>
      </c>
      <c r="M80" s="118">
        <f>Biz1cf!M23</f>
        <v>0</v>
      </c>
      <c r="N80" s="118">
        <f>Biz1cf!N23</f>
        <v>0</v>
      </c>
      <c r="O80" s="118">
        <f>Biz1cf!O23</f>
        <v>0</v>
      </c>
      <c r="P80" s="118">
        <f>Biz1cf!P23</f>
        <v>0</v>
      </c>
      <c r="Q80" s="118">
        <f>Biz1cf!Q23</f>
        <v>0</v>
      </c>
      <c r="R80"/>
    </row>
    <row r="81" spans="2:18" s="113" customFormat="1" hidden="1" outlineLevel="1" x14ac:dyDescent="0.25">
      <c r="B81" s="113" t="s">
        <v>545</v>
      </c>
      <c r="C81" s="117">
        <f>SUM(Biz2cf!D23:Q23)-SUM(D81:Q81)</f>
        <v>0</v>
      </c>
      <c r="D81" s="118">
        <f>Biz2cf!D23</f>
        <v>0</v>
      </c>
      <c r="E81" s="118">
        <f>Biz2cf!E23</f>
        <v>0</v>
      </c>
      <c r="F81" s="118">
        <f>Biz2cf!F23</f>
        <v>0</v>
      </c>
      <c r="G81" s="118">
        <f>Biz2cf!G23</f>
        <v>0</v>
      </c>
      <c r="H81" s="118">
        <f>Biz2cf!H23</f>
        <v>0</v>
      </c>
      <c r="I81" s="118">
        <f>Biz2cf!I23</f>
        <v>0</v>
      </c>
      <c r="J81" s="118">
        <f>Biz2cf!J23</f>
        <v>0</v>
      </c>
      <c r="K81" s="118">
        <f>Biz2cf!K23</f>
        <v>0</v>
      </c>
      <c r="L81" s="118">
        <f>Biz2cf!L23</f>
        <v>0</v>
      </c>
      <c r="M81" s="118">
        <f>Biz2cf!M23</f>
        <v>0</v>
      </c>
      <c r="N81" s="118">
        <f>Biz2cf!N23</f>
        <v>0</v>
      </c>
      <c r="O81" s="118">
        <f>Biz2cf!O23</f>
        <v>0</v>
      </c>
      <c r="P81" s="118">
        <f>Biz2cf!P23</f>
        <v>0</v>
      </c>
      <c r="Q81" s="118">
        <f>Biz2cf!Q23</f>
        <v>0</v>
      </c>
      <c r="R81"/>
    </row>
    <row r="82" spans="2:18" s="113" customFormat="1" hidden="1" outlineLevel="1" x14ac:dyDescent="0.25">
      <c r="B82" s="113" t="s">
        <v>546</v>
      </c>
      <c r="C82" s="117">
        <f>SUM(CORPcf!D23:Q23)-SUM(D82:Q82)</f>
        <v>0</v>
      </c>
      <c r="D82" s="118">
        <f>CORPcf!D23</f>
        <v>0</v>
      </c>
      <c r="E82" s="118">
        <f>CORPcf!E23</f>
        <v>0</v>
      </c>
      <c r="F82" s="118">
        <f>CORPcf!F23</f>
        <v>0</v>
      </c>
      <c r="G82" s="118">
        <f>CORPcf!G23</f>
        <v>0</v>
      </c>
      <c r="H82" s="118">
        <f>CORPcf!H23</f>
        <v>0</v>
      </c>
      <c r="I82" s="118">
        <f>CORPcf!I23</f>
        <v>0</v>
      </c>
      <c r="J82" s="118">
        <f>CORPcf!J23</f>
        <v>0</v>
      </c>
      <c r="K82" s="118">
        <f>CORPcf!K23</f>
        <v>0</v>
      </c>
      <c r="L82" s="118">
        <f>CORPcf!L23</f>
        <v>0</v>
      </c>
      <c r="M82" s="118">
        <f>CORPcf!M23</f>
        <v>0</v>
      </c>
      <c r="N82" s="118">
        <f>CORPcf!N23</f>
        <v>0</v>
      </c>
      <c r="O82" s="118">
        <f>CORPcf!O23</f>
        <v>0</v>
      </c>
      <c r="P82" s="118">
        <f>CORPcf!P23</f>
        <v>0</v>
      </c>
      <c r="Q82" s="118">
        <f>CORPcf!Q23</f>
        <v>0</v>
      </c>
      <c r="R82"/>
    </row>
    <row r="83" spans="2:18" s="119" customFormat="1" hidden="1" outlineLevel="1" x14ac:dyDescent="0.25">
      <c r="B83" s="113"/>
      <c r="C83" s="2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/>
    </row>
    <row r="84" spans="2:18" s="113" customFormat="1" collapsed="1" x14ac:dyDescent="0.25">
      <c r="B84" s="113" t="s">
        <v>68</v>
      </c>
      <c r="C84" s="114">
        <f>SUM(D85:Q87)-SUM(D84:Q84)</f>
        <v>0</v>
      </c>
      <c r="D84" s="115">
        <f t="shared" ref="D84:Q84" si="18">SUM(D85:D87)</f>
        <v>858</v>
      </c>
      <c r="E84" s="116">
        <f t="shared" si="18"/>
        <v>0</v>
      </c>
      <c r="F84" s="116">
        <f t="shared" si="18"/>
        <v>-926.5</v>
      </c>
      <c r="G84" s="116">
        <f t="shared" si="18"/>
        <v>-479</v>
      </c>
      <c r="H84" s="116">
        <f t="shared" si="18"/>
        <v>-100.25</v>
      </c>
      <c r="I84" s="116">
        <f t="shared" si="18"/>
        <v>0</v>
      </c>
      <c r="J84" s="116">
        <f t="shared" si="18"/>
        <v>0</v>
      </c>
      <c r="K84" s="116">
        <f t="shared" si="18"/>
        <v>0</v>
      </c>
      <c r="L84" s="116">
        <f t="shared" si="18"/>
        <v>0</v>
      </c>
      <c r="M84" s="116">
        <f t="shared" si="18"/>
        <v>0</v>
      </c>
      <c r="N84" s="116">
        <f t="shared" si="18"/>
        <v>0</v>
      </c>
      <c r="O84" s="116">
        <f t="shared" si="18"/>
        <v>0</v>
      </c>
      <c r="P84" s="116">
        <f t="shared" si="18"/>
        <v>0</v>
      </c>
      <c r="Q84" s="116">
        <f t="shared" si="18"/>
        <v>0</v>
      </c>
      <c r="R84"/>
    </row>
    <row r="85" spans="2:18" s="113" customFormat="1" hidden="1" outlineLevel="1" x14ac:dyDescent="0.25">
      <c r="B85" s="113" t="s">
        <v>544</v>
      </c>
      <c r="C85" s="117">
        <f>SUM(Biz1cf!D24:Q24)-SUM(D85:Q85)</f>
        <v>0</v>
      </c>
      <c r="D85" s="118">
        <f>Biz1cf!D24</f>
        <v>0</v>
      </c>
      <c r="E85" s="118">
        <f>Biz1cf!E24</f>
        <v>0</v>
      </c>
      <c r="F85" s="118">
        <f>Biz1cf!F24</f>
        <v>0</v>
      </c>
      <c r="G85" s="118">
        <f>Biz1cf!G24</f>
        <v>0</v>
      </c>
      <c r="H85" s="118">
        <f>Biz1cf!H24</f>
        <v>0</v>
      </c>
      <c r="I85" s="118">
        <f>Biz1cf!I24</f>
        <v>0</v>
      </c>
      <c r="J85" s="118">
        <f>Biz1cf!J24</f>
        <v>0</v>
      </c>
      <c r="K85" s="118">
        <f>Biz1cf!K24</f>
        <v>0</v>
      </c>
      <c r="L85" s="118">
        <f>Biz1cf!L24</f>
        <v>0</v>
      </c>
      <c r="M85" s="118">
        <f>Biz1cf!M24</f>
        <v>0</v>
      </c>
      <c r="N85" s="118">
        <f>Biz1cf!N24</f>
        <v>0</v>
      </c>
      <c r="O85" s="118">
        <f>Biz1cf!O24</f>
        <v>0</v>
      </c>
      <c r="P85" s="118">
        <f>Biz1cf!P24</f>
        <v>0</v>
      </c>
      <c r="Q85" s="118">
        <f>Biz1cf!Q24</f>
        <v>0</v>
      </c>
      <c r="R85"/>
    </row>
    <row r="86" spans="2:18" s="113" customFormat="1" hidden="1" outlineLevel="1" x14ac:dyDescent="0.25">
      <c r="B86" s="113" t="s">
        <v>545</v>
      </c>
      <c r="C86" s="117">
        <f>SUM(Biz2cf!D24:Q24)-SUM(D86:Q86)</f>
        <v>0</v>
      </c>
      <c r="D86" s="118">
        <f>Biz2cf!D24</f>
        <v>0</v>
      </c>
      <c r="E86" s="118">
        <f>Biz2cf!E24</f>
        <v>0</v>
      </c>
      <c r="F86" s="118">
        <f>Biz2cf!F24</f>
        <v>0</v>
      </c>
      <c r="G86" s="118">
        <f>Biz2cf!G24</f>
        <v>0</v>
      </c>
      <c r="H86" s="118">
        <f>Biz2cf!H24</f>
        <v>0</v>
      </c>
      <c r="I86" s="118">
        <f>Biz2cf!I24</f>
        <v>0</v>
      </c>
      <c r="J86" s="118">
        <f>Biz2cf!J24</f>
        <v>0</v>
      </c>
      <c r="K86" s="118">
        <f>Biz2cf!K24</f>
        <v>0</v>
      </c>
      <c r="L86" s="118">
        <f>Biz2cf!L24</f>
        <v>0</v>
      </c>
      <c r="M86" s="118">
        <f>Biz2cf!M24</f>
        <v>0</v>
      </c>
      <c r="N86" s="118">
        <f>Biz2cf!N24</f>
        <v>0</v>
      </c>
      <c r="O86" s="118">
        <f>Biz2cf!O24</f>
        <v>0</v>
      </c>
      <c r="P86" s="118">
        <f>Biz2cf!P24</f>
        <v>0</v>
      </c>
      <c r="Q86" s="118">
        <f>Biz2cf!Q24</f>
        <v>0</v>
      </c>
      <c r="R86"/>
    </row>
    <row r="87" spans="2:18" s="113" customFormat="1" hidden="1" outlineLevel="1" x14ac:dyDescent="0.25">
      <c r="B87" s="113" t="s">
        <v>546</v>
      </c>
      <c r="C87" s="117">
        <f>SUM(CORPcf!D24:Q24)-SUM(D87:Q87)</f>
        <v>0</v>
      </c>
      <c r="D87" s="118">
        <f>CORPcf!D24</f>
        <v>858</v>
      </c>
      <c r="E87" s="118">
        <f>CORPcf!E24</f>
        <v>0</v>
      </c>
      <c r="F87" s="118">
        <f>CORPcf!F24</f>
        <v>-926.5</v>
      </c>
      <c r="G87" s="118">
        <f>CORPcf!G24</f>
        <v>-479</v>
      </c>
      <c r="H87" s="118">
        <f>CORPcf!H24</f>
        <v>-100.25</v>
      </c>
      <c r="I87" s="118">
        <f>CORPcf!I24</f>
        <v>0</v>
      </c>
      <c r="J87" s="118">
        <f>CORPcf!J24</f>
        <v>0</v>
      </c>
      <c r="K87" s="118">
        <f>CORPcf!K24</f>
        <v>0</v>
      </c>
      <c r="L87" s="118">
        <f>CORPcf!L24</f>
        <v>0</v>
      </c>
      <c r="M87" s="118">
        <f>CORPcf!M24</f>
        <v>0</v>
      </c>
      <c r="N87" s="118">
        <f>CORPcf!N24</f>
        <v>0</v>
      </c>
      <c r="O87" s="118">
        <f>CORPcf!O24</f>
        <v>0</v>
      </c>
      <c r="P87" s="118">
        <f>CORPcf!P24</f>
        <v>0</v>
      </c>
      <c r="Q87" s="118">
        <f>CORPcf!Q24</f>
        <v>0</v>
      </c>
      <c r="R87"/>
    </row>
    <row r="88" spans="2:18" s="119" customFormat="1" hidden="1" outlineLevel="1" x14ac:dyDescent="0.25">
      <c r="B88" s="113"/>
      <c r="C88" s="2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/>
    </row>
    <row r="89" spans="2:18" s="113" customFormat="1" collapsed="1" x14ac:dyDescent="0.25">
      <c r="B89" s="113" t="s">
        <v>69</v>
      </c>
      <c r="C89" s="114">
        <f>SUM(D90:Q92)-SUM(D89:Q89)</f>
        <v>0</v>
      </c>
      <c r="D89" s="115">
        <f t="shared" ref="D89:Q89" si="19">SUM(D90:D92)</f>
        <v>-91166</v>
      </c>
      <c r="E89" s="116">
        <f t="shared" si="19"/>
        <v>0</v>
      </c>
      <c r="F89" s="116">
        <f t="shared" si="19"/>
        <v>0</v>
      </c>
      <c r="G89" s="116">
        <f t="shared" si="19"/>
        <v>0</v>
      </c>
      <c r="H89" s="116">
        <f t="shared" si="19"/>
        <v>0</v>
      </c>
      <c r="I89" s="116">
        <f t="shared" si="19"/>
        <v>0</v>
      </c>
      <c r="J89" s="116">
        <f t="shared" si="19"/>
        <v>0</v>
      </c>
      <c r="K89" s="116">
        <f t="shared" si="19"/>
        <v>0</v>
      </c>
      <c r="L89" s="116">
        <f t="shared" si="19"/>
        <v>0</v>
      </c>
      <c r="M89" s="116">
        <f t="shared" si="19"/>
        <v>0</v>
      </c>
      <c r="N89" s="116">
        <f t="shared" si="19"/>
        <v>0</v>
      </c>
      <c r="O89" s="116">
        <f t="shared" si="19"/>
        <v>0</v>
      </c>
      <c r="P89" s="116">
        <f t="shared" si="19"/>
        <v>0</v>
      </c>
      <c r="Q89" s="116">
        <f t="shared" si="19"/>
        <v>0</v>
      </c>
      <c r="R89"/>
    </row>
    <row r="90" spans="2:18" s="113" customFormat="1" hidden="1" outlineLevel="1" x14ac:dyDescent="0.25">
      <c r="B90" s="113" t="s">
        <v>544</v>
      </c>
      <c r="C90" s="117">
        <f>SUM(Biz1cf!D25:Q25)-SUM(D90:Q90)</f>
        <v>0</v>
      </c>
      <c r="D90" s="118">
        <f>Biz1cf!D25</f>
        <v>0</v>
      </c>
      <c r="E90" s="118">
        <f>Biz1cf!E25</f>
        <v>0</v>
      </c>
      <c r="F90" s="118">
        <f>Biz1cf!F25</f>
        <v>0</v>
      </c>
      <c r="G90" s="118">
        <f>Biz1cf!G25</f>
        <v>0</v>
      </c>
      <c r="H90" s="118">
        <f>Biz1cf!H25</f>
        <v>0</v>
      </c>
      <c r="I90" s="118">
        <f>Biz1cf!I25</f>
        <v>0</v>
      </c>
      <c r="J90" s="118">
        <f>Biz1cf!J25</f>
        <v>0</v>
      </c>
      <c r="K90" s="118">
        <f>Biz1cf!K25</f>
        <v>0</v>
      </c>
      <c r="L90" s="118">
        <f>Biz1cf!L25</f>
        <v>0</v>
      </c>
      <c r="M90" s="118">
        <f>Biz1cf!M25</f>
        <v>0</v>
      </c>
      <c r="N90" s="118">
        <f>Biz1cf!N25</f>
        <v>0</v>
      </c>
      <c r="O90" s="118">
        <f>Biz1cf!O25</f>
        <v>0</v>
      </c>
      <c r="P90" s="118">
        <f>Biz1cf!P25</f>
        <v>0</v>
      </c>
      <c r="Q90" s="118">
        <f>Biz1cf!Q25</f>
        <v>0</v>
      </c>
      <c r="R90"/>
    </row>
    <row r="91" spans="2:18" s="113" customFormat="1" hidden="1" outlineLevel="1" x14ac:dyDescent="0.25">
      <c r="B91" s="113" t="s">
        <v>545</v>
      </c>
      <c r="C91" s="117">
        <f>SUM(Biz2cf!D25:Q25)-SUM(D91:Q91)</f>
        <v>0</v>
      </c>
      <c r="D91" s="118">
        <f>Biz2cf!D25</f>
        <v>0</v>
      </c>
      <c r="E91" s="118">
        <f>Biz2cf!E25</f>
        <v>0</v>
      </c>
      <c r="F91" s="118">
        <f>Biz2cf!F25</f>
        <v>0</v>
      </c>
      <c r="G91" s="118">
        <f>Biz2cf!G25</f>
        <v>0</v>
      </c>
      <c r="H91" s="118">
        <f>Biz2cf!H25</f>
        <v>0</v>
      </c>
      <c r="I91" s="118">
        <f>Biz2cf!I25</f>
        <v>0</v>
      </c>
      <c r="J91" s="118">
        <f>Biz2cf!J25</f>
        <v>0</v>
      </c>
      <c r="K91" s="118">
        <f>Biz2cf!K25</f>
        <v>0</v>
      </c>
      <c r="L91" s="118">
        <f>Biz2cf!L25</f>
        <v>0</v>
      </c>
      <c r="M91" s="118">
        <f>Biz2cf!M25</f>
        <v>0</v>
      </c>
      <c r="N91" s="118">
        <f>Biz2cf!N25</f>
        <v>0</v>
      </c>
      <c r="O91" s="118">
        <f>Biz2cf!O25</f>
        <v>0</v>
      </c>
      <c r="P91" s="118">
        <f>Biz2cf!P25</f>
        <v>0</v>
      </c>
      <c r="Q91" s="118">
        <f>Biz2cf!Q25</f>
        <v>0</v>
      </c>
      <c r="R91"/>
    </row>
    <row r="92" spans="2:18" s="113" customFormat="1" hidden="1" outlineLevel="1" x14ac:dyDescent="0.25">
      <c r="B92" s="113" t="s">
        <v>546</v>
      </c>
      <c r="C92" s="117">
        <f>SUM(CORPcf!D25:Q25)-SUM(D92:Q92)</f>
        <v>0</v>
      </c>
      <c r="D92" s="118">
        <f>CORPcf!D25</f>
        <v>-91166</v>
      </c>
      <c r="E92" s="118">
        <f>CORPcf!E25</f>
        <v>0</v>
      </c>
      <c r="F92" s="118">
        <f>CORPcf!F25</f>
        <v>0</v>
      </c>
      <c r="G92" s="118">
        <f>CORPcf!G25</f>
        <v>0</v>
      </c>
      <c r="H92" s="118">
        <f>CORPcf!H25</f>
        <v>0</v>
      </c>
      <c r="I92" s="118">
        <f>CORPcf!I25</f>
        <v>0</v>
      </c>
      <c r="J92" s="118">
        <f>CORPcf!J25</f>
        <v>0</v>
      </c>
      <c r="K92" s="118">
        <f>CORPcf!K25</f>
        <v>0</v>
      </c>
      <c r="L92" s="118">
        <f>CORPcf!L25</f>
        <v>0</v>
      </c>
      <c r="M92" s="118">
        <f>CORPcf!M25</f>
        <v>0</v>
      </c>
      <c r="N92" s="118">
        <f>CORPcf!N25</f>
        <v>0</v>
      </c>
      <c r="O92" s="118">
        <f>CORPcf!O25</f>
        <v>0</v>
      </c>
      <c r="P92" s="118">
        <f>CORPcf!P25</f>
        <v>0</v>
      </c>
      <c r="Q92" s="118">
        <f>CORPcf!Q25</f>
        <v>0</v>
      </c>
      <c r="R92"/>
    </row>
    <row r="93" spans="2:18" s="119" customFormat="1" hidden="1" outlineLevel="1" x14ac:dyDescent="0.25">
      <c r="B93" s="113"/>
      <c r="C93" s="2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/>
    </row>
    <row r="94" spans="2:18" s="113" customFormat="1" collapsed="1" x14ac:dyDescent="0.25">
      <c r="B94" s="113" t="s">
        <v>70</v>
      </c>
      <c r="C94" s="114">
        <f>SUM(D95:Q97)-SUM(D94:Q94)</f>
        <v>0</v>
      </c>
      <c r="D94" s="115">
        <f t="shared" ref="D94:Q94" si="20">SUM(D95:D97)</f>
        <v>0</v>
      </c>
      <c r="E94" s="116">
        <f t="shared" si="20"/>
        <v>0</v>
      </c>
      <c r="F94" s="116">
        <f t="shared" si="20"/>
        <v>0</v>
      </c>
      <c r="G94" s="116">
        <f t="shared" si="20"/>
        <v>0</v>
      </c>
      <c r="H94" s="116">
        <f t="shared" si="20"/>
        <v>0</v>
      </c>
      <c r="I94" s="116">
        <f t="shared" si="20"/>
        <v>0</v>
      </c>
      <c r="J94" s="116">
        <f t="shared" si="20"/>
        <v>0</v>
      </c>
      <c r="K94" s="116">
        <f t="shared" si="20"/>
        <v>0</v>
      </c>
      <c r="L94" s="116">
        <f t="shared" si="20"/>
        <v>0</v>
      </c>
      <c r="M94" s="116">
        <f t="shared" si="20"/>
        <v>0</v>
      </c>
      <c r="N94" s="116">
        <f t="shared" si="20"/>
        <v>0</v>
      </c>
      <c r="O94" s="116">
        <f t="shared" si="20"/>
        <v>0</v>
      </c>
      <c r="P94" s="116">
        <f t="shared" si="20"/>
        <v>0</v>
      </c>
      <c r="Q94" s="116">
        <f t="shared" si="20"/>
        <v>0</v>
      </c>
      <c r="R94"/>
    </row>
    <row r="95" spans="2:18" s="113" customFormat="1" hidden="1" outlineLevel="1" x14ac:dyDescent="0.25">
      <c r="B95" s="113" t="s">
        <v>544</v>
      </c>
      <c r="C95" s="117">
        <f>SUM(Biz1cf!D26:Q26)-SUM(D95:Q95)</f>
        <v>0</v>
      </c>
      <c r="D95" s="118">
        <f>Biz1cf!D26</f>
        <v>0</v>
      </c>
      <c r="E95" s="118">
        <f>Biz1cf!E26</f>
        <v>0</v>
      </c>
      <c r="F95" s="118">
        <f>Biz1cf!F26</f>
        <v>0</v>
      </c>
      <c r="G95" s="118">
        <f>Biz1cf!G26</f>
        <v>0</v>
      </c>
      <c r="H95" s="118">
        <f>Biz1cf!H26</f>
        <v>0</v>
      </c>
      <c r="I95" s="118">
        <f>Biz1cf!I26</f>
        <v>0</v>
      </c>
      <c r="J95" s="118">
        <f>Biz1cf!J26</f>
        <v>0</v>
      </c>
      <c r="K95" s="118">
        <f>Biz1cf!K26</f>
        <v>0</v>
      </c>
      <c r="L95" s="118">
        <f>Biz1cf!L26</f>
        <v>0</v>
      </c>
      <c r="M95" s="118">
        <f>Biz1cf!M26</f>
        <v>0</v>
      </c>
      <c r="N95" s="118">
        <f>Biz1cf!N26</f>
        <v>0</v>
      </c>
      <c r="O95" s="118">
        <f>Biz1cf!O26</f>
        <v>0</v>
      </c>
      <c r="P95" s="118">
        <f>Biz1cf!P26</f>
        <v>0</v>
      </c>
      <c r="Q95" s="118">
        <f>Biz1cf!Q26</f>
        <v>0</v>
      </c>
      <c r="R95"/>
    </row>
    <row r="96" spans="2:18" s="113" customFormat="1" hidden="1" outlineLevel="1" x14ac:dyDescent="0.25">
      <c r="B96" s="113" t="s">
        <v>545</v>
      </c>
      <c r="C96" s="117">
        <f>SUM(Biz2cf!D26:Q26)-SUM(D96:Q96)</f>
        <v>0</v>
      </c>
      <c r="D96" s="118">
        <f>Biz2cf!D26</f>
        <v>0</v>
      </c>
      <c r="E96" s="118">
        <f>Biz2cf!E26</f>
        <v>0</v>
      </c>
      <c r="F96" s="118">
        <f>Biz2cf!F26</f>
        <v>0</v>
      </c>
      <c r="G96" s="118">
        <f>Biz2cf!G26</f>
        <v>0</v>
      </c>
      <c r="H96" s="118">
        <f>Biz2cf!H26</f>
        <v>0</v>
      </c>
      <c r="I96" s="118">
        <f>Biz2cf!I26</f>
        <v>0</v>
      </c>
      <c r="J96" s="118">
        <f>Biz2cf!J26</f>
        <v>0</v>
      </c>
      <c r="K96" s="118">
        <f>Biz2cf!K26</f>
        <v>0</v>
      </c>
      <c r="L96" s="118">
        <f>Biz2cf!L26</f>
        <v>0</v>
      </c>
      <c r="M96" s="118">
        <f>Biz2cf!M26</f>
        <v>0</v>
      </c>
      <c r="N96" s="118">
        <f>Biz2cf!N26</f>
        <v>0</v>
      </c>
      <c r="O96" s="118">
        <f>Biz2cf!O26</f>
        <v>0</v>
      </c>
      <c r="P96" s="118">
        <f>Biz2cf!P26</f>
        <v>0</v>
      </c>
      <c r="Q96" s="118">
        <f>Biz2cf!Q26</f>
        <v>0</v>
      </c>
      <c r="R96"/>
    </row>
    <row r="97" spans="1:18" s="113" customFormat="1" hidden="1" outlineLevel="1" x14ac:dyDescent="0.25">
      <c r="B97" s="113" t="s">
        <v>546</v>
      </c>
      <c r="C97" s="117">
        <f>SUM(CORPcf!D26:Q26)-SUM(D97:Q97)</f>
        <v>0</v>
      </c>
      <c r="D97" s="118">
        <f>CORPcf!D26</f>
        <v>0</v>
      </c>
      <c r="E97" s="118">
        <f>CORPcf!E26</f>
        <v>0</v>
      </c>
      <c r="F97" s="118">
        <f>CORPcf!F26</f>
        <v>0</v>
      </c>
      <c r="G97" s="118">
        <f>CORPcf!G26</f>
        <v>0</v>
      </c>
      <c r="H97" s="118">
        <f>CORPcf!H26</f>
        <v>0</v>
      </c>
      <c r="I97" s="118">
        <f>CORPcf!I26</f>
        <v>0</v>
      </c>
      <c r="J97" s="118">
        <f>CORPcf!J26</f>
        <v>0</v>
      </c>
      <c r="K97" s="118">
        <f>CORPcf!K26</f>
        <v>0</v>
      </c>
      <c r="L97" s="118">
        <f>CORPcf!L26</f>
        <v>0</v>
      </c>
      <c r="M97" s="118">
        <f>CORPcf!M26</f>
        <v>0</v>
      </c>
      <c r="N97" s="118">
        <f>CORPcf!N26</f>
        <v>0</v>
      </c>
      <c r="O97" s="118">
        <f>CORPcf!O26</f>
        <v>0</v>
      </c>
      <c r="P97" s="118">
        <f>CORPcf!P26</f>
        <v>0</v>
      </c>
      <c r="Q97" s="118">
        <f>CORPcf!Q26</f>
        <v>0</v>
      </c>
      <c r="R97"/>
    </row>
    <row r="98" spans="1:18" s="119" customFormat="1" hidden="1" outlineLevel="1" x14ac:dyDescent="0.25">
      <c r="B98" s="113"/>
      <c r="C98" s="2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/>
    </row>
    <row r="99" spans="1:18" s="113" customFormat="1" collapsed="1" x14ac:dyDescent="0.25">
      <c r="B99" s="113" t="s">
        <v>71</v>
      </c>
      <c r="C99" s="114">
        <f>SUM(D100:Q102)-SUM(D99:Q99)</f>
        <v>0</v>
      </c>
      <c r="D99" s="115">
        <f t="shared" ref="D99:Q99" si="21">SUM(D100:D102)</f>
        <v>-26491</v>
      </c>
      <c r="E99" s="116">
        <f t="shared" si="21"/>
        <v>-11807</v>
      </c>
      <c r="F99" s="116">
        <f t="shared" si="21"/>
        <v>-12359</v>
      </c>
      <c r="G99" s="116">
        <f t="shared" si="21"/>
        <v>-22455</v>
      </c>
      <c r="H99" s="116">
        <f t="shared" si="21"/>
        <v>-21456</v>
      </c>
      <c r="I99" s="116">
        <f t="shared" si="21"/>
        <v>-3750</v>
      </c>
      <c r="J99" s="116">
        <f t="shared" si="21"/>
        <v>-3750</v>
      </c>
      <c r="K99" s="116">
        <f t="shared" si="21"/>
        <v>-3750</v>
      </c>
      <c r="L99" s="116">
        <f t="shared" si="21"/>
        <v>-3750</v>
      </c>
      <c r="M99" s="116">
        <f t="shared" si="21"/>
        <v>-16500</v>
      </c>
      <c r="N99" s="116">
        <f t="shared" si="21"/>
        <v>-17500</v>
      </c>
      <c r="O99" s="116">
        <f t="shared" si="21"/>
        <v>-17500</v>
      </c>
      <c r="P99" s="116">
        <f t="shared" si="21"/>
        <v>-16500</v>
      </c>
      <c r="Q99" s="116">
        <f t="shared" si="21"/>
        <v>-16500</v>
      </c>
      <c r="R99"/>
    </row>
    <row r="100" spans="1:18" s="113" customFormat="1" hidden="1" outlineLevel="1" x14ac:dyDescent="0.25">
      <c r="B100" s="113" t="s">
        <v>544</v>
      </c>
      <c r="C100" s="117">
        <f>SUM(Biz1cf!D27:Q27)-SUM(D100:Q100)</f>
        <v>0</v>
      </c>
      <c r="D100" s="118">
        <f>Biz1cf!D27</f>
        <v>-19719</v>
      </c>
      <c r="E100" s="118">
        <f>Biz1cf!E27</f>
        <v>-8029</v>
      </c>
      <c r="F100" s="118">
        <f>Biz1cf!F27</f>
        <v>-7702</v>
      </c>
      <c r="G100" s="118">
        <f>Biz1cf!G27</f>
        <v>-19150</v>
      </c>
      <c r="H100" s="118">
        <f>Biz1cf!H27</f>
        <v>-18500</v>
      </c>
      <c r="I100" s="118">
        <f>Biz1cf!I27</f>
        <v>-3250</v>
      </c>
      <c r="J100" s="118">
        <f>Biz1cf!J27</f>
        <v>-3250</v>
      </c>
      <c r="K100" s="118">
        <f>Biz1cf!K27</f>
        <v>-3250</v>
      </c>
      <c r="L100" s="118">
        <f>Biz1cf!L27</f>
        <v>-3250</v>
      </c>
      <c r="M100" s="118">
        <f>Biz1cf!M27</f>
        <v>-13000</v>
      </c>
      <c r="N100" s="118">
        <f>Biz1cf!N27</f>
        <v>-14000</v>
      </c>
      <c r="O100" s="118">
        <f>Biz1cf!O27</f>
        <v>-14000</v>
      </c>
      <c r="P100" s="118">
        <f>Biz1cf!P27</f>
        <v>-14000</v>
      </c>
      <c r="Q100" s="118">
        <f>Biz1cf!Q27</f>
        <v>-14000</v>
      </c>
      <c r="R100"/>
    </row>
    <row r="101" spans="1:18" s="113" customFormat="1" hidden="1" outlineLevel="1" x14ac:dyDescent="0.25">
      <c r="B101" s="113" t="s">
        <v>545</v>
      </c>
      <c r="C101" s="117">
        <f>SUM(Biz2cf!D27:Q27)-SUM(D101:Q101)</f>
        <v>0</v>
      </c>
      <c r="D101" s="118">
        <f>Biz2cf!D27</f>
        <v>-4393</v>
      </c>
      <c r="E101" s="118">
        <f>Biz2cf!E27</f>
        <v>-1080</v>
      </c>
      <c r="F101" s="118">
        <f>Biz2cf!F27</f>
        <v>-1012</v>
      </c>
      <c r="G101" s="118">
        <f>Biz2cf!G27</f>
        <v>-1805.5</v>
      </c>
      <c r="H101" s="118">
        <f>Biz2cf!H27</f>
        <v>-1456</v>
      </c>
      <c r="I101" s="118">
        <f>Biz2cf!I27</f>
        <v>-500</v>
      </c>
      <c r="J101" s="118">
        <f>Biz2cf!J27</f>
        <v>-500</v>
      </c>
      <c r="K101" s="118">
        <f>Biz2cf!K27</f>
        <v>-500</v>
      </c>
      <c r="L101" s="118">
        <f>Biz2cf!L27</f>
        <v>-500</v>
      </c>
      <c r="M101" s="118">
        <f>Biz2cf!M27</f>
        <v>-2000</v>
      </c>
      <c r="N101" s="118">
        <f>Biz2cf!N27</f>
        <v>-2500</v>
      </c>
      <c r="O101" s="118">
        <f>Biz2cf!O27</f>
        <v>-2500</v>
      </c>
      <c r="P101" s="118">
        <f>Biz2cf!P27</f>
        <v>-2500</v>
      </c>
      <c r="Q101" s="118">
        <f>Biz2cf!Q27</f>
        <v>-2500</v>
      </c>
      <c r="R101"/>
    </row>
    <row r="102" spans="1:18" s="113" customFormat="1" hidden="1" outlineLevel="1" x14ac:dyDescent="0.25">
      <c r="B102" s="113" t="s">
        <v>546</v>
      </c>
      <c r="C102" s="117">
        <f>SUM(CORPcf!D27:Q27)-SUM(D102:Q102)</f>
        <v>0</v>
      </c>
      <c r="D102" s="118">
        <f>CORPcf!D27</f>
        <v>-2379</v>
      </c>
      <c r="E102" s="118">
        <f>CORPcf!E27</f>
        <v>-2698</v>
      </c>
      <c r="F102" s="118">
        <f>CORPcf!F27</f>
        <v>-3645</v>
      </c>
      <c r="G102" s="118">
        <f>CORPcf!G27</f>
        <v>-1499.5</v>
      </c>
      <c r="H102" s="118">
        <f>CORPcf!H27</f>
        <v>-1500</v>
      </c>
      <c r="I102" s="118">
        <f>CORPcf!I27</f>
        <v>0</v>
      </c>
      <c r="J102" s="118">
        <f>CORPcf!J27</f>
        <v>0</v>
      </c>
      <c r="K102" s="118">
        <f>CORPcf!K27</f>
        <v>0</v>
      </c>
      <c r="L102" s="118">
        <f>CORPcf!L27</f>
        <v>0</v>
      </c>
      <c r="M102" s="118">
        <f>CORPcf!M27</f>
        <v>-1500</v>
      </c>
      <c r="N102" s="118">
        <f>CORPcf!N27</f>
        <v>-1000</v>
      </c>
      <c r="O102" s="118">
        <f>CORPcf!O27</f>
        <v>-1000</v>
      </c>
      <c r="P102" s="118">
        <f>CORPcf!P27</f>
        <v>0</v>
      </c>
      <c r="Q102" s="118">
        <f>CORPcf!Q27</f>
        <v>0</v>
      </c>
      <c r="R102"/>
    </row>
    <row r="103" spans="1:18" s="119" customFormat="1" hidden="1" outlineLevel="1" x14ac:dyDescent="0.25">
      <c r="B103" s="113"/>
      <c r="C103" s="2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/>
    </row>
    <row r="104" spans="1:18" s="113" customFormat="1" collapsed="1" x14ac:dyDescent="0.25">
      <c r="B104" s="113" t="s">
        <v>71</v>
      </c>
      <c r="C104" s="114">
        <f>SUM(D105:Q107)-SUM(D104:Q104)</f>
        <v>0</v>
      </c>
      <c r="D104" s="115">
        <f t="shared" ref="D104:Q104" si="22">SUM(D105:D107)</f>
        <v>0</v>
      </c>
      <c r="E104" s="116">
        <f t="shared" si="22"/>
        <v>0</v>
      </c>
      <c r="F104" s="116">
        <f t="shared" si="22"/>
        <v>0</v>
      </c>
      <c r="G104" s="116">
        <f t="shared" si="22"/>
        <v>0</v>
      </c>
      <c r="H104" s="116">
        <f t="shared" si="22"/>
        <v>0</v>
      </c>
      <c r="I104" s="116">
        <f t="shared" si="22"/>
        <v>0</v>
      </c>
      <c r="J104" s="116">
        <f t="shared" si="22"/>
        <v>0</v>
      </c>
      <c r="K104" s="116">
        <f t="shared" si="22"/>
        <v>0</v>
      </c>
      <c r="L104" s="116">
        <f t="shared" si="22"/>
        <v>0</v>
      </c>
      <c r="M104" s="116">
        <f t="shared" si="22"/>
        <v>0</v>
      </c>
      <c r="N104" s="116">
        <f t="shared" si="22"/>
        <v>0</v>
      </c>
      <c r="O104" s="116">
        <f t="shared" si="22"/>
        <v>0</v>
      </c>
      <c r="P104" s="116">
        <f t="shared" si="22"/>
        <v>0</v>
      </c>
      <c r="Q104" s="116">
        <f t="shared" si="22"/>
        <v>0</v>
      </c>
      <c r="R104"/>
    </row>
    <row r="105" spans="1:18" s="113" customFormat="1" hidden="1" outlineLevel="1" x14ac:dyDescent="0.25">
      <c r="B105" s="113" t="s">
        <v>544</v>
      </c>
      <c r="C105" s="117">
        <f>SUM(Biz1cf!D28:Q28)-SUM(D105:Q105)</f>
        <v>0</v>
      </c>
      <c r="D105" s="118">
        <f>Biz1cf!D28</f>
        <v>0</v>
      </c>
      <c r="E105" s="118">
        <f>Biz1cf!E28</f>
        <v>0</v>
      </c>
      <c r="F105" s="118">
        <f>Biz1cf!F28</f>
        <v>0</v>
      </c>
      <c r="G105" s="118">
        <f>Biz1cf!G28</f>
        <v>0</v>
      </c>
      <c r="H105" s="118">
        <f>Biz1cf!H28</f>
        <v>0</v>
      </c>
      <c r="I105" s="118">
        <f>Biz1cf!I28</f>
        <v>0</v>
      </c>
      <c r="J105" s="118">
        <f>Biz1cf!J28</f>
        <v>0</v>
      </c>
      <c r="K105" s="118">
        <f>Biz1cf!K28</f>
        <v>0</v>
      </c>
      <c r="L105" s="118">
        <f>Biz1cf!L28</f>
        <v>0</v>
      </c>
      <c r="M105" s="118">
        <f>Biz1cf!M28</f>
        <v>0</v>
      </c>
      <c r="N105" s="118">
        <f>Biz1cf!N28</f>
        <v>0</v>
      </c>
      <c r="O105" s="118">
        <f>Biz1cf!O28</f>
        <v>0</v>
      </c>
      <c r="P105" s="118">
        <f>Biz1cf!P28</f>
        <v>0</v>
      </c>
      <c r="Q105" s="118">
        <f>Biz1cf!Q28</f>
        <v>0</v>
      </c>
      <c r="R105"/>
    </row>
    <row r="106" spans="1:18" s="113" customFormat="1" hidden="1" outlineLevel="1" x14ac:dyDescent="0.25">
      <c r="B106" s="113" t="s">
        <v>545</v>
      </c>
      <c r="C106" s="117">
        <f>SUM(Biz2cf!D28:Q28)-SUM(D106:Q106)</f>
        <v>0</v>
      </c>
      <c r="D106" s="118">
        <f>Biz2cf!D28</f>
        <v>0</v>
      </c>
      <c r="E106" s="118">
        <f>Biz2cf!E28</f>
        <v>0</v>
      </c>
      <c r="F106" s="118">
        <f>Biz2cf!F28</f>
        <v>0</v>
      </c>
      <c r="G106" s="118">
        <f>Biz2cf!G28</f>
        <v>0</v>
      </c>
      <c r="H106" s="118">
        <f>Biz2cf!H28</f>
        <v>0</v>
      </c>
      <c r="I106" s="118">
        <f>Biz2cf!I28</f>
        <v>0</v>
      </c>
      <c r="J106" s="118">
        <f>Biz2cf!J28</f>
        <v>0</v>
      </c>
      <c r="K106" s="118">
        <f>Biz2cf!K28</f>
        <v>0</v>
      </c>
      <c r="L106" s="118">
        <f>Biz2cf!L28</f>
        <v>0</v>
      </c>
      <c r="M106" s="118">
        <f>Biz2cf!M28</f>
        <v>0</v>
      </c>
      <c r="N106" s="118">
        <f>Biz2cf!N28</f>
        <v>0</v>
      </c>
      <c r="O106" s="118">
        <f>Biz2cf!O28</f>
        <v>0</v>
      </c>
      <c r="P106" s="118">
        <f>Biz2cf!P28</f>
        <v>0</v>
      </c>
      <c r="Q106" s="118">
        <f>Biz2cf!Q28</f>
        <v>0</v>
      </c>
      <c r="R106"/>
    </row>
    <row r="107" spans="1:18" s="113" customFormat="1" hidden="1" outlineLevel="1" x14ac:dyDescent="0.25">
      <c r="B107" s="113" t="s">
        <v>546</v>
      </c>
      <c r="C107" s="117">
        <f>SUM(CORPcf!D28:Q28)-SUM(D107:Q107)</f>
        <v>0</v>
      </c>
      <c r="D107" s="118">
        <f>CORPcf!D28</f>
        <v>0</v>
      </c>
      <c r="E107" s="118">
        <f>CORPcf!E28</f>
        <v>0</v>
      </c>
      <c r="F107" s="118">
        <f>CORPcf!F28</f>
        <v>0</v>
      </c>
      <c r="G107" s="118">
        <f>CORPcf!G28</f>
        <v>0</v>
      </c>
      <c r="H107" s="118">
        <f>CORPcf!H28</f>
        <v>0</v>
      </c>
      <c r="I107" s="118">
        <f>CORPcf!I28</f>
        <v>0</v>
      </c>
      <c r="J107" s="118">
        <f>CORPcf!J28</f>
        <v>0</v>
      </c>
      <c r="K107" s="118">
        <f>CORPcf!K28</f>
        <v>0</v>
      </c>
      <c r="L107" s="118">
        <f>CORPcf!L28</f>
        <v>0</v>
      </c>
      <c r="M107" s="118">
        <f>CORPcf!M28</f>
        <v>0</v>
      </c>
      <c r="N107" s="118">
        <f>CORPcf!N28</f>
        <v>0</v>
      </c>
      <c r="O107" s="118">
        <f>CORPcf!O28</f>
        <v>0</v>
      </c>
      <c r="P107" s="118">
        <f>CORPcf!P28</f>
        <v>0</v>
      </c>
      <c r="Q107" s="118">
        <f>CORPcf!Q28</f>
        <v>0</v>
      </c>
      <c r="R107"/>
    </row>
    <row r="108" spans="1:18" s="119" customFormat="1" hidden="1" outlineLevel="1" x14ac:dyDescent="0.25">
      <c r="B108" s="113"/>
      <c r="C108" s="2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/>
    </row>
    <row r="109" spans="1:18" s="122" customFormat="1" collapsed="1" x14ac:dyDescent="0.25">
      <c r="A109" s="108" t="s">
        <v>72</v>
      </c>
      <c r="B109" s="113"/>
      <c r="C109" s="15">
        <f>SUM(D110:Q112)-SUM(D109:Q109)</f>
        <v>0</v>
      </c>
      <c r="D109" s="121">
        <f t="shared" ref="D109:Q109" si="23">SUM(D110:D112)</f>
        <v>-116799</v>
      </c>
      <c r="E109" s="121">
        <f t="shared" si="23"/>
        <v>-11659</v>
      </c>
      <c r="F109" s="121">
        <f t="shared" si="23"/>
        <v>-14727.5</v>
      </c>
      <c r="G109" s="121">
        <f t="shared" si="23"/>
        <v>-22381.895</v>
      </c>
      <c r="H109" s="121">
        <f t="shared" si="23"/>
        <v>-21556.25</v>
      </c>
      <c r="I109" s="121">
        <f t="shared" si="23"/>
        <v>-3750</v>
      </c>
      <c r="J109" s="121">
        <f t="shared" si="23"/>
        <v>-3750</v>
      </c>
      <c r="K109" s="121">
        <f t="shared" si="23"/>
        <v>-3750</v>
      </c>
      <c r="L109" s="121">
        <f t="shared" si="23"/>
        <v>-3750</v>
      </c>
      <c r="M109" s="121">
        <f t="shared" si="23"/>
        <v>-16500</v>
      </c>
      <c r="N109" s="121">
        <f t="shared" si="23"/>
        <v>-17500</v>
      </c>
      <c r="O109" s="121">
        <f t="shared" si="23"/>
        <v>-17500</v>
      </c>
      <c r="P109" s="121">
        <f t="shared" si="23"/>
        <v>-16500</v>
      </c>
      <c r="Q109" s="121">
        <f t="shared" si="23"/>
        <v>-16500</v>
      </c>
      <c r="R109"/>
    </row>
    <row r="110" spans="1:18" s="119" customFormat="1" hidden="1" outlineLevel="1" x14ac:dyDescent="0.25">
      <c r="B110" s="113" t="s">
        <v>544</v>
      </c>
      <c r="C110" s="17"/>
      <c r="D110" s="120">
        <f t="shared" ref="D110:Q110" si="24">SUM(D75,D80,D85,D90,D95,D100,D105)</f>
        <v>-19719</v>
      </c>
      <c r="E110" s="120">
        <f t="shared" si="24"/>
        <v>-8029</v>
      </c>
      <c r="F110" s="120">
        <f t="shared" si="24"/>
        <v>-7702</v>
      </c>
      <c r="G110" s="120">
        <f t="shared" si="24"/>
        <v>-19150</v>
      </c>
      <c r="H110" s="120">
        <f t="shared" si="24"/>
        <v>-18500</v>
      </c>
      <c r="I110" s="120">
        <f t="shared" si="24"/>
        <v>-3250</v>
      </c>
      <c r="J110" s="120">
        <f t="shared" si="24"/>
        <v>-3250</v>
      </c>
      <c r="K110" s="120">
        <f t="shared" si="24"/>
        <v>-3250</v>
      </c>
      <c r="L110" s="120">
        <f t="shared" si="24"/>
        <v>-3250</v>
      </c>
      <c r="M110" s="120">
        <f t="shared" si="24"/>
        <v>-13000</v>
      </c>
      <c r="N110" s="120">
        <f t="shared" si="24"/>
        <v>-14000</v>
      </c>
      <c r="O110" s="120">
        <f t="shared" si="24"/>
        <v>-14000</v>
      </c>
      <c r="P110" s="120">
        <f t="shared" si="24"/>
        <v>-14000</v>
      </c>
      <c r="Q110" s="120">
        <f t="shared" si="24"/>
        <v>-14000</v>
      </c>
      <c r="R110"/>
    </row>
    <row r="111" spans="1:18" s="119" customFormat="1" hidden="1" outlineLevel="1" x14ac:dyDescent="0.25">
      <c r="A111" s="113"/>
      <c r="B111" s="113" t="s">
        <v>545</v>
      </c>
      <c r="C111" s="17"/>
      <c r="D111" s="120">
        <f t="shared" ref="D111:Q111" si="25">SUM(D76,D81,D86,D91,D96,D101,D106)</f>
        <v>-4393</v>
      </c>
      <c r="E111" s="120">
        <f t="shared" si="25"/>
        <v>-1080</v>
      </c>
      <c r="F111" s="120">
        <f t="shared" si="25"/>
        <v>-1012</v>
      </c>
      <c r="G111" s="120">
        <f t="shared" si="25"/>
        <v>-1805.5</v>
      </c>
      <c r="H111" s="120">
        <f t="shared" si="25"/>
        <v>-1456</v>
      </c>
      <c r="I111" s="120">
        <f t="shared" si="25"/>
        <v>-500</v>
      </c>
      <c r="J111" s="120">
        <f t="shared" si="25"/>
        <v>-500</v>
      </c>
      <c r="K111" s="120">
        <f t="shared" si="25"/>
        <v>-500</v>
      </c>
      <c r="L111" s="120">
        <f t="shared" si="25"/>
        <v>-500</v>
      </c>
      <c r="M111" s="120">
        <f t="shared" si="25"/>
        <v>-2000</v>
      </c>
      <c r="N111" s="120">
        <f t="shared" si="25"/>
        <v>-2500</v>
      </c>
      <c r="O111" s="120">
        <f t="shared" si="25"/>
        <v>-2500</v>
      </c>
      <c r="P111" s="120">
        <f t="shared" si="25"/>
        <v>-2500</v>
      </c>
      <c r="Q111" s="120">
        <f t="shared" si="25"/>
        <v>-2500</v>
      </c>
      <c r="R111"/>
    </row>
    <row r="112" spans="1:18" s="119" customFormat="1" hidden="1" outlineLevel="1" x14ac:dyDescent="0.25">
      <c r="A112" s="113"/>
      <c r="B112" s="113" t="s">
        <v>546</v>
      </c>
      <c r="C112" s="17"/>
      <c r="D112" s="120">
        <f t="shared" ref="D112:Q112" si="26">SUM(D77,D82,D87,D92,D97,D102,D107)</f>
        <v>-92687</v>
      </c>
      <c r="E112" s="120">
        <f t="shared" si="26"/>
        <v>-2550</v>
      </c>
      <c r="F112" s="120">
        <f t="shared" si="26"/>
        <v>-6013.5</v>
      </c>
      <c r="G112" s="120">
        <f t="shared" si="26"/>
        <v>-1426.395</v>
      </c>
      <c r="H112" s="120">
        <f t="shared" si="26"/>
        <v>-1600.25</v>
      </c>
      <c r="I112" s="120">
        <f t="shared" si="26"/>
        <v>0</v>
      </c>
      <c r="J112" s="120">
        <f t="shared" si="26"/>
        <v>0</v>
      </c>
      <c r="K112" s="120">
        <f t="shared" si="26"/>
        <v>0</v>
      </c>
      <c r="L112" s="120">
        <f t="shared" si="26"/>
        <v>0</v>
      </c>
      <c r="M112" s="120">
        <f t="shared" si="26"/>
        <v>-1500</v>
      </c>
      <c r="N112" s="120">
        <f t="shared" si="26"/>
        <v>-1000</v>
      </c>
      <c r="O112" s="120">
        <f t="shared" si="26"/>
        <v>-1000</v>
      </c>
      <c r="P112" s="120">
        <f t="shared" si="26"/>
        <v>0</v>
      </c>
      <c r="Q112" s="120">
        <f t="shared" si="26"/>
        <v>0</v>
      </c>
      <c r="R112"/>
    </row>
    <row r="113" spans="1:18" s="14" customFormat="1" hidden="1" outlineLevel="1" x14ac:dyDescent="0.25">
      <c r="A113" s="113"/>
      <c r="B113" s="44"/>
      <c r="C113" s="2"/>
      <c r="H113" s="31"/>
      <c r="M113" s="31"/>
      <c r="N113" s="31"/>
      <c r="O113" s="31"/>
      <c r="P113" s="31"/>
      <c r="Q113" s="31"/>
      <c r="R113"/>
    </row>
    <row r="114" spans="1:18" s="45" customFormat="1" collapsed="1" x14ac:dyDescent="0.25">
      <c r="B114" s="44"/>
      <c r="C114" s="2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/>
    </row>
    <row r="115" spans="1:18" s="69" customFormat="1" x14ac:dyDescent="0.25">
      <c r="A115" s="68" t="s">
        <v>73</v>
      </c>
      <c r="B115" s="44"/>
      <c r="C115" s="2"/>
      <c r="D115" s="70"/>
      <c r="E115" s="70"/>
      <c r="F115" s="70"/>
      <c r="G115" s="71"/>
      <c r="H115" s="72"/>
      <c r="I115" s="73"/>
      <c r="J115" s="73"/>
      <c r="K115" s="73"/>
      <c r="L115" s="73"/>
      <c r="M115" s="72"/>
      <c r="N115" s="72"/>
      <c r="O115" s="72"/>
      <c r="P115" s="72"/>
      <c r="Q115" s="72"/>
      <c r="R115"/>
    </row>
    <row r="116" spans="1:18" s="69" customFormat="1" x14ac:dyDescent="0.25">
      <c r="B116" s="69" t="s">
        <v>74</v>
      </c>
      <c r="C116" s="76">
        <f>SUM(D117:Q119)-SUM(D116:Q116)</f>
        <v>0</v>
      </c>
      <c r="D116" s="77">
        <f t="shared" ref="D116:Q116" si="27">SUM(D117:D119)</f>
        <v>0</v>
      </c>
      <c r="E116" s="78">
        <f t="shared" si="27"/>
        <v>0</v>
      </c>
      <c r="F116" s="78">
        <f t="shared" si="27"/>
        <v>2629.5790000000002</v>
      </c>
      <c r="G116" s="78">
        <f t="shared" si="27"/>
        <v>14228.421</v>
      </c>
      <c r="H116" s="78">
        <f t="shared" si="27"/>
        <v>-23973</v>
      </c>
      <c r="I116" s="78">
        <f t="shared" si="27"/>
        <v>0</v>
      </c>
      <c r="J116" s="78">
        <f t="shared" si="27"/>
        <v>0</v>
      </c>
      <c r="K116" s="78">
        <f t="shared" si="27"/>
        <v>0</v>
      </c>
      <c r="L116" s="78">
        <f t="shared" si="27"/>
        <v>0</v>
      </c>
      <c r="M116" s="78">
        <f t="shared" si="27"/>
        <v>7115</v>
      </c>
      <c r="N116" s="78">
        <f t="shared" si="27"/>
        <v>0</v>
      </c>
      <c r="O116" s="78">
        <f t="shared" si="27"/>
        <v>0</v>
      </c>
      <c r="P116" s="78">
        <f t="shared" si="27"/>
        <v>0</v>
      </c>
      <c r="Q116" s="78">
        <f t="shared" si="27"/>
        <v>0</v>
      </c>
      <c r="R116"/>
    </row>
    <row r="117" spans="1:18" s="69" customFormat="1" hidden="1" outlineLevel="1" x14ac:dyDescent="0.25">
      <c r="B117" s="69" t="s">
        <v>544</v>
      </c>
      <c r="C117" s="79">
        <f>SUM(Biz1cf!D32:Q32)-SUM(D117:Q117)</f>
        <v>0</v>
      </c>
      <c r="D117" s="80">
        <f>Biz1cf!D32</f>
        <v>0</v>
      </c>
      <c r="E117" s="80">
        <f>Biz1cf!E32</f>
        <v>0</v>
      </c>
      <c r="F117" s="80">
        <f>Biz1cf!F32</f>
        <v>0</v>
      </c>
      <c r="G117" s="80">
        <f>Biz1cf!G32</f>
        <v>18250</v>
      </c>
      <c r="H117" s="80">
        <f>Biz1cf!H32</f>
        <v>-26500</v>
      </c>
      <c r="I117" s="80">
        <f>Biz1cf!I32</f>
        <v>0</v>
      </c>
      <c r="J117" s="80">
        <f>Biz1cf!J32</f>
        <v>0</v>
      </c>
      <c r="K117" s="80">
        <f>Biz1cf!K32</f>
        <v>0</v>
      </c>
      <c r="L117" s="80">
        <f>Biz1cf!L32</f>
        <v>0</v>
      </c>
      <c r="M117" s="80">
        <f>Biz1cf!M32</f>
        <v>8250</v>
      </c>
      <c r="N117" s="80">
        <f>Biz1cf!N32</f>
        <v>0</v>
      </c>
      <c r="O117" s="80">
        <f>Biz1cf!O32</f>
        <v>0</v>
      </c>
      <c r="P117" s="80">
        <f>Biz1cf!P32</f>
        <v>0</v>
      </c>
      <c r="Q117" s="80">
        <f>Biz1cf!Q32</f>
        <v>0</v>
      </c>
      <c r="R117"/>
    </row>
    <row r="118" spans="1:18" s="69" customFormat="1" hidden="1" outlineLevel="1" x14ac:dyDescent="0.25">
      <c r="B118" s="69" t="s">
        <v>545</v>
      </c>
      <c r="C118" s="79">
        <f>SUM(Biz2cf!D32:Q32)-SUM(D118:Q118)</f>
        <v>0</v>
      </c>
      <c r="D118" s="80">
        <f>Biz2cf!D32</f>
        <v>0</v>
      </c>
      <c r="E118" s="80">
        <f>Biz2cf!E32</f>
        <v>0</v>
      </c>
      <c r="F118" s="80">
        <f>Biz2cf!F32</f>
        <v>2629.5790000000002</v>
      </c>
      <c r="G118" s="80">
        <f>Biz2cf!G32</f>
        <v>-4021.5790000000002</v>
      </c>
      <c r="H118" s="80">
        <f>Biz2cf!H32</f>
        <v>2527</v>
      </c>
      <c r="I118" s="80">
        <f>Biz2cf!I32</f>
        <v>0</v>
      </c>
      <c r="J118" s="80">
        <f>Biz2cf!J32</f>
        <v>0</v>
      </c>
      <c r="K118" s="80">
        <f>Biz2cf!K32</f>
        <v>0</v>
      </c>
      <c r="L118" s="80">
        <f>Biz2cf!L32</f>
        <v>0</v>
      </c>
      <c r="M118" s="80">
        <f>Biz2cf!M32</f>
        <v>-1135</v>
      </c>
      <c r="N118" s="80">
        <f>Biz2cf!N32</f>
        <v>0</v>
      </c>
      <c r="O118" s="80">
        <f>Biz2cf!O32</f>
        <v>0</v>
      </c>
      <c r="P118" s="80">
        <f>Biz2cf!P32</f>
        <v>0</v>
      </c>
      <c r="Q118" s="80">
        <f>Biz2cf!Q32</f>
        <v>0</v>
      </c>
      <c r="R118"/>
    </row>
    <row r="119" spans="1:18" s="69" customFormat="1" hidden="1" outlineLevel="1" x14ac:dyDescent="0.25">
      <c r="B119" s="69" t="s">
        <v>546</v>
      </c>
      <c r="C119" s="79">
        <f>SUM(CORPcf!D32:Q32)-SUM(D119:Q119)</f>
        <v>0</v>
      </c>
      <c r="D119" s="80">
        <f>CORPcf!D32</f>
        <v>0</v>
      </c>
      <c r="E119" s="80">
        <f>CORPcf!E32</f>
        <v>0</v>
      </c>
      <c r="F119" s="80">
        <f>CORPcf!F32</f>
        <v>0</v>
      </c>
      <c r="G119" s="80">
        <f>CORPcf!G32</f>
        <v>0</v>
      </c>
      <c r="H119" s="80">
        <f>CORPcf!H32</f>
        <v>0</v>
      </c>
      <c r="I119" s="80">
        <f>CORPcf!I32</f>
        <v>0</v>
      </c>
      <c r="J119" s="80">
        <f>CORPcf!J32</f>
        <v>0</v>
      </c>
      <c r="K119" s="80">
        <f>CORPcf!K32</f>
        <v>0</v>
      </c>
      <c r="L119" s="80">
        <f>CORPcf!L32</f>
        <v>0</v>
      </c>
      <c r="M119" s="80">
        <f>CORPcf!M32</f>
        <v>0</v>
      </c>
      <c r="N119" s="80">
        <f>CORPcf!N32</f>
        <v>0</v>
      </c>
      <c r="O119" s="80">
        <f>CORPcf!O32</f>
        <v>0</v>
      </c>
      <c r="P119" s="80">
        <f>CORPcf!P32</f>
        <v>0</v>
      </c>
      <c r="Q119" s="80">
        <f>CORPcf!Q32</f>
        <v>0</v>
      </c>
      <c r="R119"/>
    </row>
    <row r="120" spans="1:18" s="119" customFormat="1" hidden="1" outlineLevel="1" x14ac:dyDescent="0.25">
      <c r="B120" s="69"/>
      <c r="C120" s="2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/>
    </row>
    <row r="121" spans="1:18" s="69" customFormat="1" collapsed="1" x14ac:dyDescent="0.25">
      <c r="B121" s="69" t="s">
        <v>75</v>
      </c>
      <c r="C121" s="76">
        <f>SUM(D122:Q124)-SUM(D121:Q121)</f>
        <v>0</v>
      </c>
      <c r="D121" s="77">
        <f t="shared" ref="D121:Q121" si="28">SUM(D122:D124)</f>
        <v>0</v>
      </c>
      <c r="E121" s="78">
        <f t="shared" si="28"/>
        <v>0</v>
      </c>
      <c r="F121" s="78">
        <f t="shared" si="28"/>
        <v>1416</v>
      </c>
      <c r="G121" s="78">
        <f t="shared" si="28"/>
        <v>-404</v>
      </c>
      <c r="H121" s="78">
        <f t="shared" si="28"/>
        <v>-72154</v>
      </c>
      <c r="I121" s="78">
        <f t="shared" si="28"/>
        <v>0</v>
      </c>
      <c r="J121" s="78">
        <f t="shared" si="28"/>
        <v>0</v>
      </c>
      <c r="K121" s="78">
        <f t="shared" si="28"/>
        <v>0</v>
      </c>
      <c r="L121" s="78">
        <f t="shared" si="28"/>
        <v>0</v>
      </c>
      <c r="M121" s="78">
        <f t="shared" si="28"/>
        <v>-404</v>
      </c>
      <c r="N121" s="78">
        <f t="shared" si="28"/>
        <v>-204.33699999999999</v>
      </c>
      <c r="O121" s="78">
        <f t="shared" si="28"/>
        <v>0</v>
      </c>
      <c r="P121" s="78">
        <f t="shared" si="28"/>
        <v>0.33699999999998909</v>
      </c>
      <c r="Q121" s="78">
        <f t="shared" si="28"/>
        <v>0</v>
      </c>
      <c r="R121"/>
    </row>
    <row r="122" spans="1:18" s="69" customFormat="1" hidden="1" outlineLevel="1" x14ac:dyDescent="0.25">
      <c r="B122" s="69" t="s">
        <v>544</v>
      </c>
      <c r="C122" s="79">
        <f>SUM(Biz1cf!D33:Q33)-SUM(D122:Q122)</f>
        <v>0</v>
      </c>
      <c r="D122" s="80">
        <f>Biz1cf!D33</f>
        <v>0</v>
      </c>
      <c r="E122" s="80">
        <f>Biz1cf!E33</f>
        <v>0</v>
      </c>
      <c r="F122" s="80">
        <f>Biz1cf!F33</f>
        <v>1416</v>
      </c>
      <c r="G122" s="80">
        <f>Biz1cf!G33</f>
        <v>-404</v>
      </c>
      <c r="H122" s="80">
        <f>Biz1cf!H33</f>
        <v>-404</v>
      </c>
      <c r="I122" s="80">
        <f>Biz1cf!I33</f>
        <v>0</v>
      </c>
      <c r="J122" s="80">
        <f>Biz1cf!J33</f>
        <v>0</v>
      </c>
      <c r="K122" s="80">
        <f>Biz1cf!K33</f>
        <v>0</v>
      </c>
      <c r="L122" s="80">
        <f>Biz1cf!L33</f>
        <v>0</v>
      </c>
      <c r="M122" s="80">
        <f>Biz1cf!M33</f>
        <v>-404</v>
      </c>
      <c r="N122" s="80">
        <f>Biz1cf!N33</f>
        <v>-204.33699999999999</v>
      </c>
      <c r="O122" s="80">
        <f>Biz1cf!O33</f>
        <v>0</v>
      </c>
      <c r="P122" s="80">
        <f>Biz1cf!P33</f>
        <v>0.33699999999998909</v>
      </c>
      <c r="Q122" s="80">
        <f>Biz1cf!Q33</f>
        <v>0</v>
      </c>
      <c r="R122"/>
    </row>
    <row r="123" spans="1:18" s="69" customFormat="1" hidden="1" outlineLevel="1" x14ac:dyDescent="0.25">
      <c r="B123" s="69" t="s">
        <v>545</v>
      </c>
      <c r="C123" s="79">
        <f>SUM(Biz2cf!D33:Q33)-SUM(D123:Q123)</f>
        <v>0</v>
      </c>
      <c r="D123" s="80">
        <f>Biz2cf!D33</f>
        <v>0</v>
      </c>
      <c r="E123" s="80">
        <f>Biz2cf!E33</f>
        <v>0</v>
      </c>
      <c r="F123" s="80">
        <f>Biz2cf!F33</f>
        <v>0</v>
      </c>
      <c r="G123" s="80">
        <f>Biz2cf!G33</f>
        <v>0</v>
      </c>
      <c r="H123" s="80">
        <f>Biz2cf!H33</f>
        <v>0</v>
      </c>
      <c r="I123" s="80">
        <f>Biz2cf!I33</f>
        <v>0</v>
      </c>
      <c r="J123" s="80">
        <f>Biz2cf!J33</f>
        <v>0</v>
      </c>
      <c r="K123" s="80">
        <f>Biz2cf!K33</f>
        <v>0</v>
      </c>
      <c r="L123" s="80">
        <f>Biz2cf!L33</f>
        <v>0</v>
      </c>
      <c r="M123" s="80">
        <f>Biz2cf!M33</f>
        <v>0</v>
      </c>
      <c r="N123" s="80">
        <f>Biz2cf!N33</f>
        <v>0</v>
      </c>
      <c r="O123" s="80">
        <f>Biz2cf!O33</f>
        <v>0</v>
      </c>
      <c r="P123" s="80">
        <f>Biz2cf!P33</f>
        <v>0</v>
      </c>
      <c r="Q123" s="80">
        <f>Biz2cf!Q33</f>
        <v>0</v>
      </c>
      <c r="R123"/>
    </row>
    <row r="124" spans="1:18" s="69" customFormat="1" hidden="1" outlineLevel="1" x14ac:dyDescent="0.25">
      <c r="B124" s="69" t="s">
        <v>546</v>
      </c>
      <c r="C124" s="79">
        <f>SUM(CORPcf!D33:Q33)-SUM(D124:Q124)</f>
        <v>0</v>
      </c>
      <c r="D124" s="80">
        <f>CORPcf!D33</f>
        <v>0</v>
      </c>
      <c r="E124" s="80">
        <f>CORPcf!E33</f>
        <v>0</v>
      </c>
      <c r="F124" s="80">
        <f>CORPcf!F33</f>
        <v>0</v>
      </c>
      <c r="G124" s="80">
        <f>CORPcf!G33</f>
        <v>0</v>
      </c>
      <c r="H124" s="80">
        <f>CORPcf!H33</f>
        <v>-71750</v>
      </c>
      <c r="I124" s="80">
        <f>CORPcf!I33</f>
        <v>0</v>
      </c>
      <c r="J124" s="80">
        <f>CORPcf!J33</f>
        <v>0</v>
      </c>
      <c r="K124" s="80">
        <f>CORPcf!K33</f>
        <v>0</v>
      </c>
      <c r="L124" s="80">
        <f>CORPcf!L33</f>
        <v>0</v>
      </c>
      <c r="M124" s="80">
        <f>CORPcf!M33</f>
        <v>0</v>
      </c>
      <c r="N124" s="80">
        <f>CORPcf!N33</f>
        <v>0</v>
      </c>
      <c r="O124" s="80">
        <f>CORPcf!O33</f>
        <v>0</v>
      </c>
      <c r="P124" s="80">
        <f>CORPcf!P33</f>
        <v>0</v>
      </c>
      <c r="Q124" s="80">
        <f>CORPcf!Q33</f>
        <v>0</v>
      </c>
      <c r="R124"/>
    </row>
    <row r="125" spans="1:18" s="119" customFormat="1" hidden="1" outlineLevel="1" x14ac:dyDescent="0.25">
      <c r="B125" s="69"/>
      <c r="C125" s="2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/>
    </row>
    <row r="126" spans="1:18" s="69" customFormat="1" collapsed="1" x14ac:dyDescent="0.25">
      <c r="B126" s="69" t="s">
        <v>76</v>
      </c>
      <c r="C126" s="76">
        <f>SUM(D127:Q129)-SUM(D126:Q126)</f>
        <v>0</v>
      </c>
      <c r="D126" s="77">
        <f t="shared" ref="D126:Q126" si="29">SUM(D127:D129)</f>
        <v>0</v>
      </c>
      <c r="E126" s="78">
        <f t="shared" si="29"/>
        <v>0</v>
      </c>
      <c r="F126" s="78">
        <f t="shared" si="29"/>
        <v>0</v>
      </c>
      <c r="G126" s="78">
        <f t="shared" si="29"/>
        <v>0</v>
      </c>
      <c r="H126" s="78">
        <f t="shared" si="29"/>
        <v>0</v>
      </c>
      <c r="I126" s="78">
        <f t="shared" si="29"/>
        <v>0</v>
      </c>
      <c r="J126" s="78">
        <f t="shared" si="29"/>
        <v>0</v>
      </c>
      <c r="K126" s="78">
        <f t="shared" si="29"/>
        <v>0</v>
      </c>
      <c r="L126" s="78">
        <f t="shared" si="29"/>
        <v>0</v>
      </c>
      <c r="M126" s="78">
        <f t="shared" si="29"/>
        <v>0</v>
      </c>
      <c r="N126" s="78">
        <f t="shared" si="29"/>
        <v>0</v>
      </c>
      <c r="O126" s="78">
        <f t="shared" si="29"/>
        <v>0</v>
      </c>
      <c r="P126" s="78">
        <f t="shared" si="29"/>
        <v>0</v>
      </c>
      <c r="Q126" s="78">
        <f t="shared" si="29"/>
        <v>0</v>
      </c>
      <c r="R126"/>
    </row>
    <row r="127" spans="1:18" s="69" customFormat="1" hidden="1" outlineLevel="1" x14ac:dyDescent="0.25">
      <c r="B127" s="69" t="s">
        <v>544</v>
      </c>
      <c r="C127" s="79">
        <f>SUM(Biz1cf!D34:Q34)-SUM(D127:Q127)</f>
        <v>0</v>
      </c>
      <c r="D127" s="80">
        <f>Biz1cf!D34</f>
        <v>0</v>
      </c>
      <c r="E127" s="80">
        <f>Biz1cf!E34</f>
        <v>0</v>
      </c>
      <c r="F127" s="80">
        <f>Biz1cf!F34</f>
        <v>0</v>
      </c>
      <c r="G127" s="80">
        <f>Biz1cf!G34</f>
        <v>0</v>
      </c>
      <c r="H127" s="80">
        <f>Biz1cf!H34</f>
        <v>0</v>
      </c>
      <c r="I127" s="80">
        <f>Biz1cf!I34</f>
        <v>0</v>
      </c>
      <c r="J127" s="80">
        <f>Biz1cf!J34</f>
        <v>0</v>
      </c>
      <c r="K127" s="80">
        <f>Biz1cf!K34</f>
        <v>0</v>
      </c>
      <c r="L127" s="80">
        <f>Biz1cf!L34</f>
        <v>0</v>
      </c>
      <c r="M127" s="80">
        <f>Biz1cf!M34</f>
        <v>0</v>
      </c>
      <c r="N127" s="80">
        <f>Biz1cf!N34</f>
        <v>0</v>
      </c>
      <c r="O127" s="80">
        <f>Biz1cf!O34</f>
        <v>0</v>
      </c>
      <c r="P127" s="80">
        <f>Biz1cf!P34</f>
        <v>0</v>
      </c>
      <c r="Q127" s="80">
        <f>Biz1cf!Q34</f>
        <v>0</v>
      </c>
      <c r="R127"/>
    </row>
    <row r="128" spans="1:18" s="69" customFormat="1" hidden="1" outlineLevel="1" x14ac:dyDescent="0.25">
      <c r="B128" s="69" t="s">
        <v>545</v>
      </c>
      <c r="C128" s="79">
        <f>SUM(Biz2cf!D34:Q34)-SUM(D128:Q128)</f>
        <v>0</v>
      </c>
      <c r="D128" s="80">
        <f>Biz2cf!D34</f>
        <v>0</v>
      </c>
      <c r="E128" s="80">
        <f>Biz2cf!E34</f>
        <v>0</v>
      </c>
      <c r="F128" s="80">
        <f>Biz2cf!F34</f>
        <v>0</v>
      </c>
      <c r="G128" s="80">
        <f>Biz2cf!G34</f>
        <v>0</v>
      </c>
      <c r="H128" s="80">
        <f>Biz2cf!H34</f>
        <v>0</v>
      </c>
      <c r="I128" s="80">
        <f>Biz2cf!I34</f>
        <v>0</v>
      </c>
      <c r="J128" s="80">
        <f>Biz2cf!J34</f>
        <v>0</v>
      </c>
      <c r="K128" s="80">
        <f>Biz2cf!K34</f>
        <v>0</v>
      </c>
      <c r="L128" s="80">
        <f>Biz2cf!L34</f>
        <v>0</v>
      </c>
      <c r="M128" s="80">
        <f>Biz2cf!M34</f>
        <v>0</v>
      </c>
      <c r="N128" s="80">
        <f>Biz2cf!N34</f>
        <v>0</v>
      </c>
      <c r="O128" s="80">
        <f>Biz2cf!O34</f>
        <v>0</v>
      </c>
      <c r="P128" s="80">
        <f>Biz2cf!P34</f>
        <v>0</v>
      </c>
      <c r="Q128" s="80">
        <f>Biz2cf!Q34</f>
        <v>0</v>
      </c>
      <c r="R128"/>
    </row>
    <row r="129" spans="2:18" s="69" customFormat="1" hidden="1" outlineLevel="1" x14ac:dyDescent="0.25">
      <c r="B129" s="69" t="s">
        <v>546</v>
      </c>
      <c r="C129" s="79">
        <f>SUM(CORPcf!D34:Q34)-SUM(D129:Q129)</f>
        <v>0</v>
      </c>
      <c r="D129" s="80">
        <f>CORPcf!D34</f>
        <v>0</v>
      </c>
      <c r="E129" s="80">
        <f>CORPcf!E34</f>
        <v>0</v>
      </c>
      <c r="F129" s="80">
        <f>CORPcf!F34</f>
        <v>0</v>
      </c>
      <c r="G129" s="80">
        <f>CORPcf!G34</f>
        <v>0</v>
      </c>
      <c r="H129" s="80">
        <f>CORPcf!H34</f>
        <v>0</v>
      </c>
      <c r="I129" s="80">
        <f>CORPcf!I34</f>
        <v>0</v>
      </c>
      <c r="J129" s="80">
        <f>CORPcf!J34</f>
        <v>0</v>
      </c>
      <c r="K129" s="80">
        <f>CORPcf!K34</f>
        <v>0</v>
      </c>
      <c r="L129" s="80">
        <f>CORPcf!L34</f>
        <v>0</v>
      </c>
      <c r="M129" s="80">
        <f>CORPcf!M34</f>
        <v>0</v>
      </c>
      <c r="N129" s="80">
        <f>CORPcf!N34</f>
        <v>0</v>
      </c>
      <c r="O129" s="80">
        <f>CORPcf!O34</f>
        <v>0</v>
      </c>
      <c r="P129" s="80">
        <f>CORPcf!P34</f>
        <v>0</v>
      </c>
      <c r="Q129" s="80">
        <f>CORPcf!Q34</f>
        <v>0</v>
      </c>
      <c r="R129"/>
    </row>
    <row r="130" spans="2:18" s="119" customFormat="1" hidden="1" outlineLevel="1" x14ac:dyDescent="0.25">
      <c r="B130" s="69"/>
      <c r="C130" s="2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/>
    </row>
    <row r="131" spans="2:18" s="69" customFormat="1" collapsed="1" x14ac:dyDescent="0.25">
      <c r="B131" s="69" t="s">
        <v>77</v>
      </c>
      <c r="C131" s="76">
        <f>SUM(D132:Q134)-SUM(D131:Q131)</f>
        <v>0</v>
      </c>
      <c r="D131" s="77">
        <f t="shared" ref="D131:Q131" si="30">SUM(D132:D134)</f>
        <v>0</v>
      </c>
      <c r="E131" s="78">
        <f t="shared" si="30"/>
        <v>0</v>
      </c>
      <c r="F131" s="78">
        <f t="shared" si="30"/>
        <v>0</v>
      </c>
      <c r="G131" s="78">
        <f t="shared" si="30"/>
        <v>0</v>
      </c>
      <c r="H131" s="78">
        <f t="shared" si="30"/>
        <v>0</v>
      </c>
      <c r="I131" s="78">
        <f t="shared" si="30"/>
        <v>0</v>
      </c>
      <c r="J131" s="78">
        <f t="shared" si="30"/>
        <v>0</v>
      </c>
      <c r="K131" s="78">
        <f t="shared" si="30"/>
        <v>0</v>
      </c>
      <c r="L131" s="78">
        <f t="shared" si="30"/>
        <v>0</v>
      </c>
      <c r="M131" s="78">
        <f t="shared" si="30"/>
        <v>0</v>
      </c>
      <c r="N131" s="78">
        <f t="shared" si="30"/>
        <v>0</v>
      </c>
      <c r="O131" s="78">
        <f t="shared" si="30"/>
        <v>0</v>
      </c>
      <c r="P131" s="78">
        <f t="shared" si="30"/>
        <v>0</v>
      </c>
      <c r="Q131" s="78">
        <f t="shared" si="30"/>
        <v>0</v>
      </c>
      <c r="R131"/>
    </row>
    <row r="132" spans="2:18" s="69" customFormat="1" hidden="1" outlineLevel="1" x14ac:dyDescent="0.25">
      <c r="B132" s="69" t="s">
        <v>544</v>
      </c>
      <c r="C132" s="79">
        <f>SUM(Biz1cf!D35:Q35)-SUM(D132:Q132)</f>
        <v>0</v>
      </c>
      <c r="D132" s="80">
        <f>Biz1cf!D35</f>
        <v>0</v>
      </c>
      <c r="E132" s="80">
        <f>Biz1cf!E35</f>
        <v>0</v>
      </c>
      <c r="F132" s="80">
        <f>Biz1cf!F35</f>
        <v>0</v>
      </c>
      <c r="G132" s="80">
        <f>Biz1cf!G35</f>
        <v>0</v>
      </c>
      <c r="H132" s="80">
        <f>Biz1cf!H35</f>
        <v>0</v>
      </c>
      <c r="I132" s="80">
        <f>Biz1cf!I35</f>
        <v>0</v>
      </c>
      <c r="J132" s="80">
        <f>Biz1cf!J35</f>
        <v>0</v>
      </c>
      <c r="K132" s="80">
        <f>Biz1cf!K35</f>
        <v>0</v>
      </c>
      <c r="L132" s="80">
        <f>Biz1cf!L35</f>
        <v>0</v>
      </c>
      <c r="M132" s="80">
        <f>Biz1cf!M35</f>
        <v>0</v>
      </c>
      <c r="N132" s="80">
        <f>Biz1cf!N35</f>
        <v>0</v>
      </c>
      <c r="O132" s="80">
        <f>Biz1cf!O35</f>
        <v>0</v>
      </c>
      <c r="P132" s="80">
        <f>Biz1cf!P35</f>
        <v>0</v>
      </c>
      <c r="Q132" s="80">
        <f>Biz1cf!Q35</f>
        <v>0</v>
      </c>
      <c r="R132"/>
    </row>
    <row r="133" spans="2:18" s="69" customFormat="1" hidden="1" outlineLevel="1" x14ac:dyDescent="0.25">
      <c r="B133" s="69" t="s">
        <v>545</v>
      </c>
      <c r="C133" s="79">
        <f>SUM(Biz2cf!D35:Q35)-SUM(D133:Q133)</f>
        <v>0</v>
      </c>
      <c r="D133" s="80">
        <f>Biz2cf!D35</f>
        <v>0</v>
      </c>
      <c r="E133" s="80">
        <f>Biz2cf!E35</f>
        <v>0</v>
      </c>
      <c r="F133" s="80">
        <f>Biz2cf!F35</f>
        <v>0</v>
      </c>
      <c r="G133" s="80">
        <f>Biz2cf!G35</f>
        <v>0</v>
      </c>
      <c r="H133" s="80">
        <f>Biz2cf!H35</f>
        <v>0</v>
      </c>
      <c r="I133" s="80">
        <f>Biz2cf!I35</f>
        <v>0</v>
      </c>
      <c r="J133" s="80">
        <f>Biz2cf!J35</f>
        <v>0</v>
      </c>
      <c r="K133" s="80">
        <f>Biz2cf!K35</f>
        <v>0</v>
      </c>
      <c r="L133" s="80">
        <f>Biz2cf!L35</f>
        <v>0</v>
      </c>
      <c r="M133" s="80">
        <f>Biz2cf!M35</f>
        <v>0</v>
      </c>
      <c r="N133" s="80">
        <f>Biz2cf!N35</f>
        <v>0</v>
      </c>
      <c r="O133" s="80">
        <f>Biz2cf!O35</f>
        <v>0</v>
      </c>
      <c r="P133" s="80">
        <f>Biz2cf!P35</f>
        <v>0</v>
      </c>
      <c r="Q133" s="80">
        <f>Biz2cf!Q35</f>
        <v>0</v>
      </c>
      <c r="R133"/>
    </row>
    <row r="134" spans="2:18" s="69" customFormat="1" hidden="1" outlineLevel="1" x14ac:dyDescent="0.25">
      <c r="B134" s="69" t="s">
        <v>546</v>
      </c>
      <c r="C134" s="79">
        <f>SUM(CORPcf!D35:Q35)-SUM(D134:Q134)</f>
        <v>0</v>
      </c>
      <c r="D134" s="80">
        <f>CORPcf!D35</f>
        <v>0</v>
      </c>
      <c r="E134" s="80">
        <f>CORPcf!E35</f>
        <v>0</v>
      </c>
      <c r="F134" s="80">
        <f>CORPcf!F35</f>
        <v>0</v>
      </c>
      <c r="G134" s="80">
        <f>CORPcf!G35</f>
        <v>0</v>
      </c>
      <c r="H134" s="80">
        <f>CORPcf!H35</f>
        <v>0</v>
      </c>
      <c r="I134" s="80">
        <f>CORPcf!I35</f>
        <v>0</v>
      </c>
      <c r="J134" s="80">
        <f>CORPcf!J35</f>
        <v>0</v>
      </c>
      <c r="K134" s="80">
        <f>CORPcf!K35</f>
        <v>0</v>
      </c>
      <c r="L134" s="80">
        <f>CORPcf!L35</f>
        <v>0</v>
      </c>
      <c r="M134" s="80">
        <f>CORPcf!M35</f>
        <v>0</v>
      </c>
      <c r="N134" s="80">
        <f>CORPcf!N35</f>
        <v>0</v>
      </c>
      <c r="O134" s="80">
        <f>CORPcf!O35</f>
        <v>0</v>
      </c>
      <c r="P134" s="80">
        <f>CORPcf!P35</f>
        <v>0</v>
      </c>
      <c r="Q134" s="80">
        <f>CORPcf!Q35</f>
        <v>0</v>
      </c>
      <c r="R134"/>
    </row>
    <row r="135" spans="2:18" s="119" customFormat="1" hidden="1" outlineLevel="1" x14ac:dyDescent="0.25">
      <c r="B135" s="69"/>
      <c r="C135" s="2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/>
    </row>
    <row r="136" spans="2:18" s="69" customFormat="1" collapsed="1" x14ac:dyDescent="0.25">
      <c r="B136" s="69" t="s">
        <v>78</v>
      </c>
      <c r="C136" s="76">
        <f>SUM(D137:Q139)-SUM(D136:Q136)</f>
        <v>0</v>
      </c>
      <c r="D136" s="77">
        <f t="shared" ref="D136:Q136" si="31">SUM(D137:D139)</f>
        <v>0</v>
      </c>
      <c r="E136" s="78">
        <f t="shared" si="31"/>
        <v>0</v>
      </c>
      <c r="F136" s="78">
        <f t="shared" si="31"/>
        <v>0</v>
      </c>
      <c r="G136" s="78">
        <f t="shared" si="31"/>
        <v>0</v>
      </c>
      <c r="H136" s="78">
        <f t="shared" si="31"/>
        <v>0</v>
      </c>
      <c r="I136" s="78">
        <f t="shared" si="31"/>
        <v>0</v>
      </c>
      <c r="J136" s="78">
        <f t="shared" si="31"/>
        <v>0</v>
      </c>
      <c r="K136" s="78">
        <f t="shared" si="31"/>
        <v>0</v>
      </c>
      <c r="L136" s="78">
        <f t="shared" si="31"/>
        <v>0</v>
      </c>
      <c r="M136" s="78">
        <f t="shared" si="31"/>
        <v>0</v>
      </c>
      <c r="N136" s="78">
        <f t="shared" si="31"/>
        <v>0</v>
      </c>
      <c r="O136" s="78">
        <f t="shared" si="31"/>
        <v>0</v>
      </c>
      <c r="P136" s="78">
        <f t="shared" si="31"/>
        <v>0</v>
      </c>
      <c r="Q136" s="78">
        <f t="shared" si="31"/>
        <v>0</v>
      </c>
      <c r="R136"/>
    </row>
    <row r="137" spans="2:18" s="69" customFormat="1" hidden="1" outlineLevel="1" x14ac:dyDescent="0.25">
      <c r="B137" s="69" t="s">
        <v>544</v>
      </c>
      <c r="C137" s="79">
        <f>SUM(Biz1cf!D36:Q36)-SUM(D137:Q137)</f>
        <v>0</v>
      </c>
      <c r="D137" s="80">
        <f>Biz1cf!D36</f>
        <v>0</v>
      </c>
      <c r="E137" s="80">
        <f>Biz1cf!E36</f>
        <v>0</v>
      </c>
      <c r="F137" s="80">
        <f>Biz1cf!F36</f>
        <v>0</v>
      </c>
      <c r="G137" s="80">
        <f>Biz1cf!G36</f>
        <v>0</v>
      </c>
      <c r="H137" s="80">
        <f>Biz1cf!H36</f>
        <v>0</v>
      </c>
      <c r="I137" s="80">
        <f>Biz1cf!I36</f>
        <v>0</v>
      </c>
      <c r="J137" s="80">
        <f>Biz1cf!J36</f>
        <v>0</v>
      </c>
      <c r="K137" s="80">
        <f>Biz1cf!K36</f>
        <v>0</v>
      </c>
      <c r="L137" s="80">
        <f>Biz1cf!L36</f>
        <v>0</v>
      </c>
      <c r="M137" s="80">
        <f>Biz1cf!M36</f>
        <v>0</v>
      </c>
      <c r="N137" s="80">
        <f>Biz1cf!N36</f>
        <v>0</v>
      </c>
      <c r="O137" s="80">
        <f>Biz1cf!O36</f>
        <v>0</v>
      </c>
      <c r="P137" s="80">
        <f>Biz1cf!P36</f>
        <v>0</v>
      </c>
      <c r="Q137" s="80">
        <f>Biz1cf!Q36</f>
        <v>0</v>
      </c>
      <c r="R137"/>
    </row>
    <row r="138" spans="2:18" s="69" customFormat="1" hidden="1" outlineLevel="1" x14ac:dyDescent="0.25">
      <c r="B138" s="69" t="s">
        <v>545</v>
      </c>
      <c r="C138" s="79">
        <f>SUM(Biz2cf!D36:Q36)-SUM(D138:Q138)</f>
        <v>0</v>
      </c>
      <c r="D138" s="80">
        <f>Biz2cf!D36</f>
        <v>0</v>
      </c>
      <c r="E138" s="80">
        <f>Biz2cf!E36</f>
        <v>0</v>
      </c>
      <c r="F138" s="80">
        <f>Biz2cf!F36</f>
        <v>0</v>
      </c>
      <c r="G138" s="80">
        <f>Biz2cf!G36</f>
        <v>0</v>
      </c>
      <c r="H138" s="80">
        <f>Biz2cf!H36</f>
        <v>0</v>
      </c>
      <c r="I138" s="80">
        <f>Biz2cf!I36</f>
        <v>0</v>
      </c>
      <c r="J138" s="80">
        <f>Biz2cf!J36</f>
        <v>0</v>
      </c>
      <c r="K138" s="80">
        <f>Biz2cf!K36</f>
        <v>0</v>
      </c>
      <c r="L138" s="80">
        <f>Biz2cf!L36</f>
        <v>0</v>
      </c>
      <c r="M138" s="80">
        <f>Biz2cf!M36</f>
        <v>0</v>
      </c>
      <c r="N138" s="80">
        <f>Biz2cf!N36</f>
        <v>0</v>
      </c>
      <c r="O138" s="80">
        <f>Biz2cf!O36</f>
        <v>0</v>
      </c>
      <c r="P138" s="80">
        <f>Biz2cf!P36</f>
        <v>0</v>
      </c>
      <c r="Q138" s="80">
        <f>Biz2cf!Q36</f>
        <v>0</v>
      </c>
      <c r="R138"/>
    </row>
    <row r="139" spans="2:18" s="69" customFormat="1" hidden="1" outlineLevel="1" x14ac:dyDescent="0.25">
      <c r="B139" s="69" t="s">
        <v>546</v>
      </c>
      <c r="C139" s="79">
        <f>SUM(CORPcf!D36:Q36)-SUM(D139:Q139)</f>
        <v>0</v>
      </c>
      <c r="D139" s="80">
        <f>CORPcf!D36</f>
        <v>0</v>
      </c>
      <c r="E139" s="80">
        <f>CORPcf!E36</f>
        <v>0</v>
      </c>
      <c r="F139" s="80">
        <f>CORPcf!F36</f>
        <v>0</v>
      </c>
      <c r="G139" s="80">
        <f>CORPcf!G36</f>
        <v>0</v>
      </c>
      <c r="H139" s="80">
        <f>CORPcf!H36</f>
        <v>0</v>
      </c>
      <c r="I139" s="80">
        <f>CORPcf!I36</f>
        <v>0</v>
      </c>
      <c r="J139" s="80">
        <f>CORPcf!J36</f>
        <v>0</v>
      </c>
      <c r="K139" s="80">
        <f>CORPcf!K36</f>
        <v>0</v>
      </c>
      <c r="L139" s="80">
        <f>CORPcf!L36</f>
        <v>0</v>
      </c>
      <c r="M139" s="80">
        <f>CORPcf!M36</f>
        <v>0</v>
      </c>
      <c r="N139" s="80">
        <f>CORPcf!N36</f>
        <v>0</v>
      </c>
      <c r="O139" s="80">
        <f>CORPcf!O36</f>
        <v>0</v>
      </c>
      <c r="P139" s="80">
        <f>CORPcf!P36</f>
        <v>0</v>
      </c>
      <c r="Q139" s="80">
        <f>CORPcf!Q36</f>
        <v>0</v>
      </c>
      <c r="R139"/>
    </row>
    <row r="140" spans="2:18" s="119" customFormat="1" hidden="1" outlineLevel="1" x14ac:dyDescent="0.25">
      <c r="B140" s="69"/>
      <c r="C140" s="2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/>
    </row>
    <row r="141" spans="2:18" s="69" customFormat="1" collapsed="1" x14ac:dyDescent="0.25">
      <c r="B141" s="69" t="s">
        <v>79</v>
      </c>
      <c r="C141" s="76">
        <f>SUM(D142:Q144)-SUM(D141:Q141)</f>
        <v>0</v>
      </c>
      <c r="D141" s="77">
        <f t="shared" ref="D141:Q141" si="32">SUM(D142:D144)</f>
        <v>0</v>
      </c>
      <c r="E141" s="78">
        <f t="shared" si="32"/>
        <v>0</v>
      </c>
      <c r="F141" s="78">
        <f t="shared" si="32"/>
        <v>0</v>
      </c>
      <c r="G141" s="78">
        <f t="shared" si="32"/>
        <v>0</v>
      </c>
      <c r="H141" s="78">
        <f t="shared" si="32"/>
        <v>0</v>
      </c>
      <c r="I141" s="78">
        <f t="shared" si="32"/>
        <v>0</v>
      </c>
      <c r="J141" s="78">
        <f t="shared" si="32"/>
        <v>0</v>
      </c>
      <c r="K141" s="78">
        <f t="shared" si="32"/>
        <v>0</v>
      </c>
      <c r="L141" s="78">
        <f t="shared" si="32"/>
        <v>0</v>
      </c>
      <c r="M141" s="78">
        <f t="shared" si="32"/>
        <v>0</v>
      </c>
      <c r="N141" s="78">
        <f t="shared" si="32"/>
        <v>0</v>
      </c>
      <c r="O141" s="78">
        <f t="shared" si="32"/>
        <v>0</v>
      </c>
      <c r="P141" s="78">
        <f t="shared" si="32"/>
        <v>0</v>
      </c>
      <c r="Q141" s="78">
        <f t="shared" si="32"/>
        <v>0</v>
      </c>
      <c r="R141"/>
    </row>
    <row r="142" spans="2:18" s="69" customFormat="1" hidden="1" outlineLevel="1" x14ac:dyDescent="0.25">
      <c r="B142" s="69" t="s">
        <v>544</v>
      </c>
      <c r="C142" s="79">
        <f>SUM(Biz1cf!D37:Q37)-SUM(D142:Q142)</f>
        <v>0</v>
      </c>
      <c r="D142" s="80">
        <f>Biz1cf!D37</f>
        <v>0</v>
      </c>
      <c r="E142" s="80">
        <f>Biz1cf!E37</f>
        <v>0</v>
      </c>
      <c r="F142" s="80">
        <f>Biz1cf!F37</f>
        <v>0</v>
      </c>
      <c r="G142" s="80">
        <f>Biz1cf!G37</f>
        <v>0</v>
      </c>
      <c r="H142" s="80">
        <f>Biz1cf!H37</f>
        <v>0</v>
      </c>
      <c r="I142" s="80">
        <f>Biz1cf!I37</f>
        <v>0</v>
      </c>
      <c r="J142" s="80">
        <f>Biz1cf!J37</f>
        <v>0</v>
      </c>
      <c r="K142" s="80">
        <f>Biz1cf!K37</f>
        <v>0</v>
      </c>
      <c r="L142" s="80">
        <f>Biz1cf!L37</f>
        <v>0</v>
      </c>
      <c r="M142" s="80">
        <f>Biz1cf!M37</f>
        <v>0</v>
      </c>
      <c r="N142" s="80">
        <f>Biz1cf!N37</f>
        <v>0</v>
      </c>
      <c r="O142" s="80">
        <f>Biz1cf!O37</f>
        <v>0</v>
      </c>
      <c r="P142" s="80">
        <f>Biz1cf!P37</f>
        <v>0</v>
      </c>
      <c r="Q142" s="80">
        <f>Biz1cf!Q37</f>
        <v>0</v>
      </c>
      <c r="R142"/>
    </row>
    <row r="143" spans="2:18" s="69" customFormat="1" hidden="1" outlineLevel="1" x14ac:dyDescent="0.25">
      <c r="B143" s="69" t="s">
        <v>545</v>
      </c>
      <c r="C143" s="79">
        <f>SUM(Biz2cf!D37:Q37)-SUM(D143:Q143)</f>
        <v>0</v>
      </c>
      <c r="D143" s="80">
        <f>Biz2cf!D37</f>
        <v>0</v>
      </c>
      <c r="E143" s="80">
        <f>Biz2cf!E37</f>
        <v>0</v>
      </c>
      <c r="F143" s="80">
        <f>Biz2cf!F37</f>
        <v>0</v>
      </c>
      <c r="G143" s="80">
        <f>Biz2cf!G37</f>
        <v>0</v>
      </c>
      <c r="H143" s="80">
        <f>Biz2cf!H37</f>
        <v>0</v>
      </c>
      <c r="I143" s="80">
        <f>Biz2cf!I37</f>
        <v>0</v>
      </c>
      <c r="J143" s="80">
        <f>Biz2cf!J37</f>
        <v>0</v>
      </c>
      <c r="K143" s="80">
        <f>Biz2cf!K37</f>
        <v>0</v>
      </c>
      <c r="L143" s="80">
        <f>Biz2cf!L37</f>
        <v>0</v>
      </c>
      <c r="M143" s="80">
        <f>Biz2cf!M37</f>
        <v>0</v>
      </c>
      <c r="N143" s="80">
        <f>Biz2cf!N37</f>
        <v>0</v>
      </c>
      <c r="O143" s="80">
        <f>Biz2cf!O37</f>
        <v>0</v>
      </c>
      <c r="P143" s="80">
        <f>Biz2cf!P37</f>
        <v>0</v>
      </c>
      <c r="Q143" s="80">
        <f>Biz2cf!Q37</f>
        <v>0</v>
      </c>
      <c r="R143"/>
    </row>
    <row r="144" spans="2:18" s="69" customFormat="1" hidden="1" outlineLevel="1" x14ac:dyDescent="0.25">
      <c r="B144" s="69" t="s">
        <v>546</v>
      </c>
      <c r="C144" s="79">
        <f>SUM(CORPcf!D37:Q37)-SUM(D144:Q144)</f>
        <v>0</v>
      </c>
      <c r="D144" s="80">
        <f>CORPcf!D37</f>
        <v>0</v>
      </c>
      <c r="E144" s="80">
        <f>CORPcf!E37</f>
        <v>0</v>
      </c>
      <c r="F144" s="80">
        <f>CORPcf!F37</f>
        <v>0</v>
      </c>
      <c r="G144" s="80">
        <f>CORPcf!G37</f>
        <v>0</v>
      </c>
      <c r="H144" s="80">
        <f>CORPcf!H37</f>
        <v>0</v>
      </c>
      <c r="I144" s="80">
        <f>CORPcf!I37</f>
        <v>0</v>
      </c>
      <c r="J144" s="80">
        <f>CORPcf!J37</f>
        <v>0</v>
      </c>
      <c r="K144" s="80">
        <f>CORPcf!K37</f>
        <v>0</v>
      </c>
      <c r="L144" s="80">
        <f>CORPcf!L37</f>
        <v>0</v>
      </c>
      <c r="M144" s="80">
        <f>CORPcf!M37</f>
        <v>0</v>
      </c>
      <c r="N144" s="80">
        <f>CORPcf!N37</f>
        <v>0</v>
      </c>
      <c r="O144" s="80">
        <f>CORPcf!O37</f>
        <v>0</v>
      </c>
      <c r="P144" s="80">
        <f>CORPcf!P37</f>
        <v>0</v>
      </c>
      <c r="Q144" s="80">
        <f>CORPcf!Q37</f>
        <v>0</v>
      </c>
      <c r="R144"/>
    </row>
    <row r="145" spans="2:18" s="119" customFormat="1" hidden="1" outlineLevel="1" x14ac:dyDescent="0.25">
      <c r="B145" s="69"/>
      <c r="C145" s="2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/>
    </row>
    <row r="146" spans="2:18" s="69" customFormat="1" collapsed="1" x14ac:dyDescent="0.25">
      <c r="B146" s="69" t="s">
        <v>80</v>
      </c>
      <c r="C146" s="76">
        <f>SUM(D147:Q149)-SUM(D146:Q146)</f>
        <v>0</v>
      </c>
      <c r="D146" s="77">
        <f t="shared" ref="D146:Q146" si="33">SUM(D147:D149)</f>
        <v>0</v>
      </c>
      <c r="E146" s="78">
        <f t="shared" si="33"/>
        <v>0</v>
      </c>
      <c r="F146" s="78">
        <f t="shared" si="33"/>
        <v>0</v>
      </c>
      <c r="G146" s="78">
        <f t="shared" si="33"/>
        <v>0</v>
      </c>
      <c r="H146" s="78">
        <f t="shared" si="33"/>
        <v>0</v>
      </c>
      <c r="I146" s="78">
        <f t="shared" si="33"/>
        <v>0</v>
      </c>
      <c r="J146" s="78">
        <f t="shared" si="33"/>
        <v>0</v>
      </c>
      <c r="K146" s="78">
        <f t="shared" si="33"/>
        <v>0</v>
      </c>
      <c r="L146" s="78">
        <f t="shared" si="33"/>
        <v>0</v>
      </c>
      <c r="M146" s="78">
        <f t="shared" si="33"/>
        <v>0</v>
      </c>
      <c r="N146" s="78">
        <f t="shared" si="33"/>
        <v>0</v>
      </c>
      <c r="O146" s="78">
        <f t="shared" si="33"/>
        <v>0</v>
      </c>
      <c r="P146" s="78">
        <f t="shared" si="33"/>
        <v>0</v>
      </c>
      <c r="Q146" s="78">
        <f t="shared" si="33"/>
        <v>0</v>
      </c>
      <c r="R146"/>
    </row>
    <row r="147" spans="2:18" s="69" customFormat="1" hidden="1" outlineLevel="1" x14ac:dyDescent="0.25">
      <c r="B147" s="69" t="s">
        <v>544</v>
      </c>
      <c r="C147" s="79">
        <f>SUM(Biz1cf!D38:Q38)-SUM(D147:Q147)</f>
        <v>0</v>
      </c>
      <c r="D147" s="80">
        <f>Biz1cf!D38</f>
        <v>0</v>
      </c>
      <c r="E147" s="80">
        <f>Biz1cf!E38</f>
        <v>0</v>
      </c>
      <c r="F147" s="80">
        <f>Biz1cf!F38</f>
        <v>0</v>
      </c>
      <c r="G147" s="80">
        <f>Biz1cf!G38</f>
        <v>0</v>
      </c>
      <c r="H147" s="80">
        <f>Biz1cf!H38</f>
        <v>0</v>
      </c>
      <c r="I147" s="80">
        <f>Biz1cf!I38</f>
        <v>0</v>
      </c>
      <c r="J147" s="80">
        <f>Biz1cf!J38</f>
        <v>0</v>
      </c>
      <c r="K147" s="80">
        <f>Biz1cf!K38</f>
        <v>0</v>
      </c>
      <c r="L147" s="80">
        <f>Biz1cf!L38</f>
        <v>0</v>
      </c>
      <c r="M147" s="80">
        <f>Biz1cf!M38</f>
        <v>0</v>
      </c>
      <c r="N147" s="80">
        <f>Biz1cf!N38</f>
        <v>0</v>
      </c>
      <c r="O147" s="80">
        <f>Biz1cf!O38</f>
        <v>0</v>
      </c>
      <c r="P147" s="80">
        <f>Biz1cf!P38</f>
        <v>0</v>
      </c>
      <c r="Q147" s="80">
        <f>Biz1cf!Q38</f>
        <v>0</v>
      </c>
      <c r="R147"/>
    </row>
    <row r="148" spans="2:18" s="69" customFormat="1" hidden="1" outlineLevel="1" x14ac:dyDescent="0.25">
      <c r="B148" s="69" t="s">
        <v>545</v>
      </c>
      <c r="C148" s="79">
        <f>SUM(Biz2cf!D38:Q38)-SUM(D148:Q148)</f>
        <v>0</v>
      </c>
      <c r="D148" s="80">
        <f>Biz2cf!D38</f>
        <v>0</v>
      </c>
      <c r="E148" s="80">
        <f>Biz2cf!E38</f>
        <v>0</v>
      </c>
      <c r="F148" s="80">
        <f>Biz2cf!F38</f>
        <v>0</v>
      </c>
      <c r="G148" s="80">
        <f>Biz2cf!G38</f>
        <v>0</v>
      </c>
      <c r="H148" s="80">
        <f>Biz2cf!H38</f>
        <v>0</v>
      </c>
      <c r="I148" s="80">
        <f>Biz2cf!I38</f>
        <v>0</v>
      </c>
      <c r="J148" s="80">
        <f>Biz2cf!J38</f>
        <v>0</v>
      </c>
      <c r="K148" s="80">
        <f>Biz2cf!K38</f>
        <v>0</v>
      </c>
      <c r="L148" s="80">
        <f>Biz2cf!L38</f>
        <v>0</v>
      </c>
      <c r="M148" s="80">
        <f>Biz2cf!M38</f>
        <v>0</v>
      </c>
      <c r="N148" s="80">
        <f>Biz2cf!N38</f>
        <v>0</v>
      </c>
      <c r="O148" s="80">
        <f>Biz2cf!O38</f>
        <v>0</v>
      </c>
      <c r="P148" s="80">
        <f>Biz2cf!P38</f>
        <v>0</v>
      </c>
      <c r="Q148" s="80">
        <f>Biz2cf!Q38</f>
        <v>0</v>
      </c>
      <c r="R148"/>
    </row>
    <row r="149" spans="2:18" s="69" customFormat="1" hidden="1" outlineLevel="1" x14ac:dyDescent="0.25">
      <c r="B149" s="69" t="s">
        <v>546</v>
      </c>
      <c r="C149" s="79">
        <f>SUM(CORPcf!D38:Q38)-SUM(D149:Q149)</f>
        <v>0</v>
      </c>
      <c r="D149" s="80">
        <f>CORPcf!D38</f>
        <v>0</v>
      </c>
      <c r="E149" s="80">
        <f>CORPcf!E38</f>
        <v>0</v>
      </c>
      <c r="F149" s="80">
        <f>CORPcf!F38</f>
        <v>0</v>
      </c>
      <c r="G149" s="80">
        <f>CORPcf!G38</f>
        <v>0</v>
      </c>
      <c r="H149" s="80">
        <f>CORPcf!H38</f>
        <v>0</v>
      </c>
      <c r="I149" s="80">
        <f>CORPcf!I38</f>
        <v>0</v>
      </c>
      <c r="J149" s="80">
        <f>CORPcf!J38</f>
        <v>0</v>
      </c>
      <c r="K149" s="80">
        <f>CORPcf!K38</f>
        <v>0</v>
      </c>
      <c r="L149" s="80">
        <f>CORPcf!L38</f>
        <v>0</v>
      </c>
      <c r="M149" s="80">
        <f>CORPcf!M38</f>
        <v>0</v>
      </c>
      <c r="N149" s="80">
        <f>CORPcf!N38</f>
        <v>0</v>
      </c>
      <c r="O149" s="80">
        <f>CORPcf!O38</f>
        <v>0</v>
      </c>
      <c r="P149" s="80">
        <f>CORPcf!P38</f>
        <v>0</v>
      </c>
      <c r="Q149" s="80">
        <f>CORPcf!Q38</f>
        <v>0</v>
      </c>
      <c r="R149"/>
    </row>
    <row r="150" spans="2:18" s="119" customFormat="1" hidden="1" outlineLevel="1" x14ac:dyDescent="0.25">
      <c r="B150" s="69"/>
      <c r="C150" s="2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/>
    </row>
    <row r="151" spans="2:18" s="69" customFormat="1" collapsed="1" x14ac:dyDescent="0.25">
      <c r="B151" s="69" t="s">
        <v>81</v>
      </c>
      <c r="C151" s="76">
        <f>SUM(D152:Q154)-SUM(D151:Q151)</f>
        <v>0</v>
      </c>
      <c r="D151" s="77">
        <f t="shared" ref="D151:Q151" si="34">SUM(D152:D154)</f>
        <v>0</v>
      </c>
      <c r="E151" s="78">
        <f t="shared" si="34"/>
        <v>0</v>
      </c>
      <c r="F151" s="78">
        <f t="shared" si="34"/>
        <v>0</v>
      </c>
      <c r="G151" s="78">
        <f t="shared" si="34"/>
        <v>0</v>
      </c>
      <c r="H151" s="78">
        <f t="shared" si="34"/>
        <v>0</v>
      </c>
      <c r="I151" s="78">
        <f t="shared" si="34"/>
        <v>0</v>
      </c>
      <c r="J151" s="78">
        <f t="shared" si="34"/>
        <v>0</v>
      </c>
      <c r="K151" s="78">
        <f t="shared" si="34"/>
        <v>0</v>
      </c>
      <c r="L151" s="78">
        <f t="shared" si="34"/>
        <v>0</v>
      </c>
      <c r="M151" s="78">
        <f t="shared" si="34"/>
        <v>0</v>
      </c>
      <c r="N151" s="78">
        <f t="shared" si="34"/>
        <v>0</v>
      </c>
      <c r="O151" s="78">
        <f t="shared" si="34"/>
        <v>0</v>
      </c>
      <c r="P151" s="78">
        <f t="shared" si="34"/>
        <v>0</v>
      </c>
      <c r="Q151" s="78">
        <f t="shared" si="34"/>
        <v>0</v>
      </c>
      <c r="R151"/>
    </row>
    <row r="152" spans="2:18" s="69" customFormat="1" hidden="1" outlineLevel="1" x14ac:dyDescent="0.25">
      <c r="B152" s="69" t="s">
        <v>544</v>
      </c>
      <c r="C152" s="79">
        <f>SUM(Biz1cf!D39:Q39)-SUM(D152:Q152)</f>
        <v>0</v>
      </c>
      <c r="D152" s="80">
        <f>Biz1cf!D39</f>
        <v>0</v>
      </c>
      <c r="E152" s="80">
        <f>Biz1cf!E39</f>
        <v>0</v>
      </c>
      <c r="F152" s="80">
        <f>Biz1cf!F39</f>
        <v>0</v>
      </c>
      <c r="G152" s="80">
        <f>Biz1cf!G39</f>
        <v>0</v>
      </c>
      <c r="H152" s="80">
        <f>Biz1cf!H39</f>
        <v>0</v>
      </c>
      <c r="I152" s="80">
        <f>Biz1cf!I39</f>
        <v>0</v>
      </c>
      <c r="J152" s="80">
        <f>Biz1cf!J39</f>
        <v>0</v>
      </c>
      <c r="K152" s="80">
        <f>Biz1cf!K39</f>
        <v>0</v>
      </c>
      <c r="L152" s="80">
        <f>Biz1cf!L39</f>
        <v>0</v>
      </c>
      <c r="M152" s="80">
        <f>Biz1cf!M39</f>
        <v>0</v>
      </c>
      <c r="N152" s="80">
        <f>Biz1cf!N39</f>
        <v>0</v>
      </c>
      <c r="O152" s="80">
        <f>Biz1cf!O39</f>
        <v>0</v>
      </c>
      <c r="P152" s="80">
        <f>Biz1cf!P39</f>
        <v>0</v>
      </c>
      <c r="Q152" s="80">
        <f>Biz1cf!Q39</f>
        <v>0</v>
      </c>
      <c r="R152"/>
    </row>
    <row r="153" spans="2:18" s="69" customFormat="1" hidden="1" outlineLevel="1" x14ac:dyDescent="0.25">
      <c r="B153" s="69" t="s">
        <v>545</v>
      </c>
      <c r="C153" s="79">
        <f>SUM(Biz2cf!D39:Q39)-SUM(D153:Q153)</f>
        <v>0</v>
      </c>
      <c r="D153" s="80">
        <f>Biz2cf!D39</f>
        <v>0</v>
      </c>
      <c r="E153" s="80">
        <f>Biz2cf!E39</f>
        <v>0</v>
      </c>
      <c r="F153" s="80">
        <f>Biz2cf!F39</f>
        <v>0</v>
      </c>
      <c r="G153" s="80">
        <f>Biz2cf!G39</f>
        <v>0</v>
      </c>
      <c r="H153" s="80">
        <f>Biz2cf!H39</f>
        <v>0</v>
      </c>
      <c r="I153" s="80">
        <f>Biz2cf!I39</f>
        <v>0</v>
      </c>
      <c r="J153" s="80">
        <f>Biz2cf!J39</f>
        <v>0</v>
      </c>
      <c r="K153" s="80">
        <f>Biz2cf!K39</f>
        <v>0</v>
      </c>
      <c r="L153" s="80">
        <f>Biz2cf!L39</f>
        <v>0</v>
      </c>
      <c r="M153" s="80">
        <f>Biz2cf!M39</f>
        <v>0</v>
      </c>
      <c r="N153" s="80">
        <f>Biz2cf!N39</f>
        <v>0</v>
      </c>
      <c r="O153" s="80">
        <f>Biz2cf!O39</f>
        <v>0</v>
      </c>
      <c r="P153" s="80">
        <f>Biz2cf!P39</f>
        <v>0</v>
      </c>
      <c r="Q153" s="80">
        <f>Biz2cf!Q39</f>
        <v>0</v>
      </c>
      <c r="R153"/>
    </row>
    <row r="154" spans="2:18" s="69" customFormat="1" hidden="1" outlineLevel="1" x14ac:dyDescent="0.25">
      <c r="B154" s="69" t="s">
        <v>546</v>
      </c>
      <c r="C154" s="79">
        <f>SUM(CORPcf!D39:Q39)-SUM(D154:Q154)</f>
        <v>0</v>
      </c>
      <c r="D154" s="80">
        <f>CORPcf!D39</f>
        <v>0</v>
      </c>
      <c r="E154" s="80">
        <f>CORPcf!E39</f>
        <v>0</v>
      </c>
      <c r="F154" s="80">
        <f>CORPcf!F39</f>
        <v>0</v>
      </c>
      <c r="G154" s="80">
        <f>CORPcf!G39</f>
        <v>0</v>
      </c>
      <c r="H154" s="80">
        <f>CORPcf!H39</f>
        <v>0</v>
      </c>
      <c r="I154" s="80">
        <f>CORPcf!I39</f>
        <v>0</v>
      </c>
      <c r="J154" s="80">
        <f>CORPcf!J39</f>
        <v>0</v>
      </c>
      <c r="K154" s="80">
        <f>CORPcf!K39</f>
        <v>0</v>
      </c>
      <c r="L154" s="80">
        <f>CORPcf!L39</f>
        <v>0</v>
      </c>
      <c r="M154" s="80">
        <f>CORPcf!M39</f>
        <v>0</v>
      </c>
      <c r="N154" s="80">
        <f>CORPcf!N39</f>
        <v>0</v>
      </c>
      <c r="O154" s="80">
        <f>CORPcf!O39</f>
        <v>0</v>
      </c>
      <c r="P154" s="80">
        <f>CORPcf!P39</f>
        <v>0</v>
      </c>
      <c r="Q154" s="80">
        <f>CORPcf!Q39</f>
        <v>0</v>
      </c>
      <c r="R154"/>
    </row>
    <row r="155" spans="2:18" s="119" customFormat="1" hidden="1" outlineLevel="1" x14ac:dyDescent="0.25">
      <c r="B155" s="69"/>
      <c r="C155" s="2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/>
    </row>
    <row r="156" spans="2:18" s="69" customFormat="1" collapsed="1" x14ac:dyDescent="0.25">
      <c r="B156" s="69" t="s">
        <v>82</v>
      </c>
      <c r="C156" s="76">
        <f>SUM(D157:Q159)-SUM(D156:Q156)</f>
        <v>0</v>
      </c>
      <c r="D156" s="77">
        <f t="shared" ref="D156:Q156" si="35">SUM(D157:D159)</f>
        <v>0</v>
      </c>
      <c r="E156" s="78">
        <f t="shared" si="35"/>
        <v>0</v>
      </c>
      <c r="F156" s="78">
        <f t="shared" si="35"/>
        <v>0</v>
      </c>
      <c r="G156" s="78">
        <f t="shared" si="35"/>
        <v>0</v>
      </c>
      <c r="H156" s="78">
        <f t="shared" si="35"/>
        <v>0</v>
      </c>
      <c r="I156" s="78">
        <f t="shared" si="35"/>
        <v>0</v>
      </c>
      <c r="J156" s="78">
        <f t="shared" si="35"/>
        <v>0</v>
      </c>
      <c r="K156" s="78">
        <f t="shared" si="35"/>
        <v>0</v>
      </c>
      <c r="L156" s="78">
        <f t="shared" si="35"/>
        <v>0</v>
      </c>
      <c r="M156" s="78">
        <f t="shared" si="35"/>
        <v>0</v>
      </c>
      <c r="N156" s="78">
        <f t="shared" si="35"/>
        <v>0</v>
      </c>
      <c r="O156" s="78">
        <f t="shared" si="35"/>
        <v>0</v>
      </c>
      <c r="P156" s="78">
        <f t="shared" si="35"/>
        <v>0</v>
      </c>
      <c r="Q156" s="78">
        <f t="shared" si="35"/>
        <v>0</v>
      </c>
      <c r="R156"/>
    </row>
    <row r="157" spans="2:18" s="69" customFormat="1" hidden="1" outlineLevel="1" x14ac:dyDescent="0.25">
      <c r="B157" s="69" t="s">
        <v>544</v>
      </c>
      <c r="C157" s="79">
        <f>SUM(Biz1cf!D40:Q40)-SUM(D157:Q157)</f>
        <v>0</v>
      </c>
      <c r="D157" s="80">
        <f>Biz1cf!D40</f>
        <v>0</v>
      </c>
      <c r="E157" s="80">
        <f>Biz1cf!E40</f>
        <v>0</v>
      </c>
      <c r="F157" s="80">
        <f>Biz1cf!F40</f>
        <v>0</v>
      </c>
      <c r="G157" s="80">
        <f>Biz1cf!G40</f>
        <v>0</v>
      </c>
      <c r="H157" s="80">
        <f>Biz1cf!H40</f>
        <v>0</v>
      </c>
      <c r="I157" s="80">
        <f>Biz1cf!I40</f>
        <v>0</v>
      </c>
      <c r="J157" s="80">
        <f>Biz1cf!J40</f>
        <v>0</v>
      </c>
      <c r="K157" s="80">
        <f>Biz1cf!K40</f>
        <v>0</v>
      </c>
      <c r="L157" s="80">
        <f>Biz1cf!L40</f>
        <v>0</v>
      </c>
      <c r="M157" s="80">
        <f>Biz1cf!M40</f>
        <v>0</v>
      </c>
      <c r="N157" s="80">
        <f>Biz1cf!N40</f>
        <v>0</v>
      </c>
      <c r="O157" s="80">
        <f>Biz1cf!O40</f>
        <v>0</v>
      </c>
      <c r="P157" s="80">
        <f>Biz1cf!P40</f>
        <v>0</v>
      </c>
      <c r="Q157" s="80">
        <f>Biz1cf!Q40</f>
        <v>0</v>
      </c>
      <c r="R157"/>
    </row>
    <row r="158" spans="2:18" s="69" customFormat="1" hidden="1" outlineLevel="1" x14ac:dyDescent="0.25">
      <c r="B158" s="69" t="s">
        <v>545</v>
      </c>
      <c r="C158" s="79">
        <f>SUM(Biz2cf!D40:Q40)-SUM(D158:Q158)</f>
        <v>0</v>
      </c>
      <c r="D158" s="80">
        <f>Biz2cf!D40</f>
        <v>0</v>
      </c>
      <c r="E158" s="80">
        <f>Biz2cf!E40</f>
        <v>0</v>
      </c>
      <c r="F158" s="80">
        <f>Biz2cf!F40</f>
        <v>0</v>
      </c>
      <c r="G158" s="80">
        <f>Biz2cf!G40</f>
        <v>0</v>
      </c>
      <c r="H158" s="80">
        <f>Biz2cf!H40</f>
        <v>0</v>
      </c>
      <c r="I158" s="80">
        <f>Biz2cf!I40</f>
        <v>0</v>
      </c>
      <c r="J158" s="80">
        <f>Biz2cf!J40</f>
        <v>0</v>
      </c>
      <c r="K158" s="80">
        <f>Biz2cf!K40</f>
        <v>0</v>
      </c>
      <c r="L158" s="80">
        <f>Biz2cf!L40</f>
        <v>0</v>
      </c>
      <c r="M158" s="80">
        <f>Biz2cf!M40</f>
        <v>0</v>
      </c>
      <c r="N158" s="80">
        <f>Biz2cf!N40</f>
        <v>0</v>
      </c>
      <c r="O158" s="80">
        <f>Biz2cf!O40</f>
        <v>0</v>
      </c>
      <c r="P158" s="80">
        <f>Biz2cf!P40</f>
        <v>0</v>
      </c>
      <c r="Q158" s="80">
        <f>Biz2cf!Q40</f>
        <v>0</v>
      </c>
      <c r="R158"/>
    </row>
    <row r="159" spans="2:18" s="69" customFormat="1" hidden="1" outlineLevel="1" x14ac:dyDescent="0.25">
      <c r="B159" s="69" t="s">
        <v>546</v>
      </c>
      <c r="C159" s="79">
        <f>SUM(CORPcf!D40:Q40)-SUM(D159:Q159)</f>
        <v>0</v>
      </c>
      <c r="D159" s="80">
        <f>CORPcf!D40</f>
        <v>0</v>
      </c>
      <c r="E159" s="80">
        <f>CORPcf!E40</f>
        <v>0</v>
      </c>
      <c r="F159" s="80">
        <f>CORPcf!F40</f>
        <v>0</v>
      </c>
      <c r="G159" s="80">
        <f>CORPcf!G40</f>
        <v>0</v>
      </c>
      <c r="H159" s="80">
        <f>CORPcf!H40</f>
        <v>0</v>
      </c>
      <c r="I159" s="80">
        <f>CORPcf!I40</f>
        <v>0</v>
      </c>
      <c r="J159" s="80">
        <f>CORPcf!J40</f>
        <v>0</v>
      </c>
      <c r="K159" s="80">
        <f>CORPcf!K40</f>
        <v>0</v>
      </c>
      <c r="L159" s="80">
        <f>CORPcf!L40</f>
        <v>0</v>
      </c>
      <c r="M159" s="80">
        <f>CORPcf!M40</f>
        <v>0</v>
      </c>
      <c r="N159" s="80">
        <f>CORPcf!N40</f>
        <v>0</v>
      </c>
      <c r="O159" s="80">
        <f>CORPcf!O40</f>
        <v>0</v>
      </c>
      <c r="P159" s="80">
        <f>CORPcf!P40</f>
        <v>0</v>
      </c>
      <c r="Q159" s="80">
        <f>CORPcf!Q40</f>
        <v>0</v>
      </c>
      <c r="R159"/>
    </row>
    <row r="160" spans="2:18" s="119" customFormat="1" hidden="1" outlineLevel="1" x14ac:dyDescent="0.25">
      <c r="B160" s="69"/>
      <c r="C160" s="2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/>
    </row>
    <row r="161" spans="1:18" s="69" customFormat="1" collapsed="1" x14ac:dyDescent="0.25">
      <c r="B161" s="69" t="s">
        <v>83</v>
      </c>
      <c r="C161" s="76">
        <f>SUM(D162:Q164)-SUM(D161:Q161)</f>
        <v>0</v>
      </c>
      <c r="D161" s="77">
        <f t="shared" ref="D161:Q161" si="36">SUM(D162:D164)</f>
        <v>0</v>
      </c>
      <c r="E161" s="78">
        <f t="shared" si="36"/>
        <v>0</v>
      </c>
      <c r="F161" s="78">
        <f t="shared" si="36"/>
        <v>0</v>
      </c>
      <c r="G161" s="78">
        <f t="shared" si="36"/>
        <v>0</v>
      </c>
      <c r="H161" s="78">
        <f t="shared" si="36"/>
        <v>0</v>
      </c>
      <c r="I161" s="78">
        <f t="shared" si="36"/>
        <v>0</v>
      </c>
      <c r="J161" s="78">
        <f t="shared" si="36"/>
        <v>0</v>
      </c>
      <c r="K161" s="78">
        <f t="shared" si="36"/>
        <v>0</v>
      </c>
      <c r="L161" s="78">
        <f t="shared" si="36"/>
        <v>0</v>
      </c>
      <c r="M161" s="78">
        <f t="shared" si="36"/>
        <v>0</v>
      </c>
      <c r="N161" s="78">
        <f t="shared" si="36"/>
        <v>0</v>
      </c>
      <c r="O161" s="78">
        <f t="shared" si="36"/>
        <v>0</v>
      </c>
      <c r="P161" s="78">
        <f t="shared" si="36"/>
        <v>0</v>
      </c>
      <c r="Q161" s="78">
        <f t="shared" si="36"/>
        <v>0</v>
      </c>
      <c r="R161"/>
    </row>
    <row r="162" spans="1:18" s="69" customFormat="1" hidden="1" outlineLevel="1" x14ac:dyDescent="0.25">
      <c r="B162" s="69" t="s">
        <v>544</v>
      </c>
      <c r="C162" s="79">
        <f>SUM(Biz1cf!D41:Q41)-SUM(D162:Q162)</f>
        <v>0</v>
      </c>
      <c r="D162" s="80">
        <f>Biz1cf!D41</f>
        <v>0</v>
      </c>
      <c r="E162" s="80">
        <f>Biz1cf!E41</f>
        <v>0</v>
      </c>
      <c r="F162" s="80">
        <f>Biz1cf!F41</f>
        <v>0</v>
      </c>
      <c r="G162" s="80">
        <f>Biz1cf!G41</f>
        <v>0</v>
      </c>
      <c r="H162" s="80">
        <f>Biz1cf!H41</f>
        <v>0</v>
      </c>
      <c r="I162" s="80">
        <f>Biz1cf!I41</f>
        <v>0</v>
      </c>
      <c r="J162" s="80">
        <f>Biz1cf!J41</f>
        <v>0</v>
      </c>
      <c r="K162" s="80">
        <f>Biz1cf!K41</f>
        <v>0</v>
      </c>
      <c r="L162" s="80">
        <f>Biz1cf!L41</f>
        <v>0</v>
      </c>
      <c r="M162" s="80">
        <f>Biz1cf!M41</f>
        <v>0</v>
      </c>
      <c r="N162" s="80">
        <f>Biz1cf!N41</f>
        <v>0</v>
      </c>
      <c r="O162" s="80">
        <f>Biz1cf!O41</f>
        <v>0</v>
      </c>
      <c r="P162" s="80">
        <f>Biz1cf!P41</f>
        <v>0</v>
      </c>
      <c r="Q162" s="80">
        <f>Biz1cf!Q41</f>
        <v>0</v>
      </c>
      <c r="R162"/>
    </row>
    <row r="163" spans="1:18" s="69" customFormat="1" hidden="1" outlineLevel="1" x14ac:dyDescent="0.25">
      <c r="B163" s="69" t="s">
        <v>545</v>
      </c>
      <c r="C163" s="79">
        <f>SUM(Biz2cf!D41:Q41)-SUM(D163:Q163)</f>
        <v>0</v>
      </c>
      <c r="D163" s="80">
        <f>Biz2cf!D41</f>
        <v>0</v>
      </c>
      <c r="E163" s="80">
        <f>Biz2cf!E41</f>
        <v>0</v>
      </c>
      <c r="F163" s="80">
        <f>Biz2cf!F41</f>
        <v>0</v>
      </c>
      <c r="G163" s="80">
        <f>Biz2cf!G41</f>
        <v>0</v>
      </c>
      <c r="H163" s="80">
        <f>Biz2cf!H41</f>
        <v>0</v>
      </c>
      <c r="I163" s="80">
        <f>Biz2cf!I41</f>
        <v>0</v>
      </c>
      <c r="J163" s="80">
        <f>Biz2cf!J41</f>
        <v>0</v>
      </c>
      <c r="K163" s="80">
        <f>Biz2cf!K41</f>
        <v>0</v>
      </c>
      <c r="L163" s="80">
        <f>Biz2cf!L41</f>
        <v>0</v>
      </c>
      <c r="M163" s="80">
        <f>Biz2cf!M41</f>
        <v>0</v>
      </c>
      <c r="N163" s="80">
        <f>Biz2cf!N41</f>
        <v>0</v>
      </c>
      <c r="O163" s="80">
        <f>Biz2cf!O41</f>
        <v>0</v>
      </c>
      <c r="P163" s="80">
        <f>Biz2cf!P41</f>
        <v>0</v>
      </c>
      <c r="Q163" s="80">
        <f>Biz2cf!Q41</f>
        <v>0</v>
      </c>
      <c r="R163"/>
    </row>
    <row r="164" spans="1:18" s="69" customFormat="1" hidden="1" outlineLevel="1" x14ac:dyDescent="0.25">
      <c r="B164" s="69" t="s">
        <v>546</v>
      </c>
      <c r="C164" s="79">
        <f>SUM(CORPcf!D41:Q41)-SUM(D164:Q164)</f>
        <v>0</v>
      </c>
      <c r="D164" s="80">
        <f>CORPcf!D41</f>
        <v>0</v>
      </c>
      <c r="E164" s="80">
        <f>CORPcf!E41</f>
        <v>0</v>
      </c>
      <c r="F164" s="80">
        <f>CORPcf!F41</f>
        <v>0</v>
      </c>
      <c r="G164" s="80">
        <f>CORPcf!G41</f>
        <v>0</v>
      </c>
      <c r="H164" s="80">
        <f>CORPcf!H41</f>
        <v>0</v>
      </c>
      <c r="I164" s="80">
        <f>CORPcf!I41</f>
        <v>0</v>
      </c>
      <c r="J164" s="80">
        <f>CORPcf!J41</f>
        <v>0</v>
      </c>
      <c r="K164" s="80">
        <f>CORPcf!K41</f>
        <v>0</v>
      </c>
      <c r="L164" s="80">
        <f>CORPcf!L41</f>
        <v>0</v>
      </c>
      <c r="M164" s="80">
        <f>CORPcf!M41</f>
        <v>0</v>
      </c>
      <c r="N164" s="80">
        <f>CORPcf!N41</f>
        <v>0</v>
      </c>
      <c r="O164" s="80">
        <f>CORPcf!O41</f>
        <v>0</v>
      </c>
      <c r="P164" s="80">
        <f>CORPcf!P41</f>
        <v>0</v>
      </c>
      <c r="Q164" s="80">
        <f>CORPcf!Q41</f>
        <v>0</v>
      </c>
      <c r="R164"/>
    </row>
    <row r="165" spans="1:18" s="119" customFormat="1" hidden="1" outlineLevel="1" x14ac:dyDescent="0.25">
      <c r="B165" s="69"/>
      <c r="C165" s="2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/>
    </row>
    <row r="166" spans="1:18" s="86" customFormat="1" collapsed="1" x14ac:dyDescent="0.25">
      <c r="A166" s="68" t="s">
        <v>84</v>
      </c>
      <c r="B166" s="69"/>
      <c r="C166" s="15">
        <f>SUM(D167:Q169)-SUM(D166:Q166)</f>
        <v>0</v>
      </c>
      <c r="D166" s="85">
        <f t="shared" ref="D166:Q166" si="37">SUM(D167:D169)</f>
        <v>0</v>
      </c>
      <c r="E166" s="85">
        <f t="shared" si="37"/>
        <v>0</v>
      </c>
      <c r="F166" s="85">
        <f t="shared" si="37"/>
        <v>4045.5790000000002</v>
      </c>
      <c r="G166" s="85">
        <f t="shared" si="37"/>
        <v>13824.421</v>
      </c>
      <c r="H166" s="85">
        <f t="shared" si="37"/>
        <v>-96127</v>
      </c>
      <c r="I166" s="85">
        <f t="shared" si="37"/>
        <v>0</v>
      </c>
      <c r="J166" s="85">
        <f t="shared" si="37"/>
        <v>0</v>
      </c>
      <c r="K166" s="85">
        <f t="shared" si="37"/>
        <v>0</v>
      </c>
      <c r="L166" s="85">
        <f t="shared" si="37"/>
        <v>0</v>
      </c>
      <c r="M166" s="85">
        <f t="shared" si="37"/>
        <v>6711</v>
      </c>
      <c r="N166" s="85">
        <f t="shared" si="37"/>
        <v>-204.33699999999999</v>
      </c>
      <c r="O166" s="85">
        <f t="shared" si="37"/>
        <v>0</v>
      </c>
      <c r="P166" s="85">
        <f t="shared" si="37"/>
        <v>0.33699999999998909</v>
      </c>
      <c r="Q166" s="85">
        <f t="shared" si="37"/>
        <v>0</v>
      </c>
      <c r="R166"/>
    </row>
    <row r="167" spans="1:18" s="81" customFormat="1" hidden="1" outlineLevel="1" x14ac:dyDescent="0.25">
      <c r="B167" s="69" t="s">
        <v>544</v>
      </c>
      <c r="C167" s="17"/>
      <c r="D167" s="82">
        <f t="shared" ref="D167:Q167" si="38">SUM(D117,D122,D127,D132,D137,D142,D147,D152,D157,D162)</f>
        <v>0</v>
      </c>
      <c r="E167" s="82">
        <f t="shared" si="38"/>
        <v>0</v>
      </c>
      <c r="F167" s="82">
        <f t="shared" si="38"/>
        <v>1416</v>
      </c>
      <c r="G167" s="82">
        <f t="shared" si="38"/>
        <v>17846</v>
      </c>
      <c r="H167" s="82">
        <f t="shared" si="38"/>
        <v>-26904</v>
      </c>
      <c r="I167" s="82">
        <f t="shared" si="38"/>
        <v>0</v>
      </c>
      <c r="J167" s="82">
        <f t="shared" si="38"/>
        <v>0</v>
      </c>
      <c r="K167" s="82">
        <f t="shared" si="38"/>
        <v>0</v>
      </c>
      <c r="L167" s="82">
        <f t="shared" si="38"/>
        <v>0</v>
      </c>
      <c r="M167" s="82">
        <f t="shared" si="38"/>
        <v>7846</v>
      </c>
      <c r="N167" s="82">
        <f t="shared" si="38"/>
        <v>-204.33699999999999</v>
      </c>
      <c r="O167" s="82">
        <f t="shared" si="38"/>
        <v>0</v>
      </c>
      <c r="P167" s="82">
        <f t="shared" si="38"/>
        <v>0.33699999999998909</v>
      </c>
      <c r="Q167" s="82">
        <f t="shared" si="38"/>
        <v>0</v>
      </c>
      <c r="R167"/>
    </row>
    <row r="168" spans="1:18" s="81" customFormat="1" hidden="1" outlineLevel="1" x14ac:dyDescent="0.25">
      <c r="A168" s="69"/>
      <c r="B168" s="69" t="s">
        <v>545</v>
      </c>
      <c r="C168" s="17"/>
      <c r="D168" s="82">
        <f t="shared" ref="D168:Q168" si="39">SUM(D118,D123,D128,D133,D138,D143,D148,D153,D158,D163)</f>
        <v>0</v>
      </c>
      <c r="E168" s="82">
        <f t="shared" si="39"/>
        <v>0</v>
      </c>
      <c r="F168" s="82">
        <f t="shared" si="39"/>
        <v>2629.5790000000002</v>
      </c>
      <c r="G168" s="82">
        <f t="shared" si="39"/>
        <v>-4021.5790000000002</v>
      </c>
      <c r="H168" s="82">
        <f t="shared" si="39"/>
        <v>2527</v>
      </c>
      <c r="I168" s="82">
        <f t="shared" si="39"/>
        <v>0</v>
      </c>
      <c r="J168" s="82">
        <f t="shared" si="39"/>
        <v>0</v>
      </c>
      <c r="K168" s="82">
        <f t="shared" si="39"/>
        <v>0</v>
      </c>
      <c r="L168" s="82">
        <f t="shared" si="39"/>
        <v>0</v>
      </c>
      <c r="M168" s="82">
        <f t="shared" si="39"/>
        <v>-1135</v>
      </c>
      <c r="N168" s="82">
        <f t="shared" si="39"/>
        <v>0</v>
      </c>
      <c r="O168" s="82">
        <f t="shared" si="39"/>
        <v>0</v>
      </c>
      <c r="P168" s="82">
        <f t="shared" si="39"/>
        <v>0</v>
      </c>
      <c r="Q168" s="82">
        <f t="shared" si="39"/>
        <v>0</v>
      </c>
      <c r="R168"/>
    </row>
    <row r="169" spans="1:18" s="81" customFormat="1" hidden="1" outlineLevel="1" x14ac:dyDescent="0.25">
      <c r="A169" s="69"/>
      <c r="B169" s="69" t="s">
        <v>546</v>
      </c>
      <c r="C169" s="17"/>
      <c r="D169" s="82">
        <f t="shared" ref="D169:Q169" si="40">SUM(D119,D124,D129,D134,D139,D144,D149,D154,D159,D164)</f>
        <v>0</v>
      </c>
      <c r="E169" s="82">
        <f t="shared" si="40"/>
        <v>0</v>
      </c>
      <c r="F169" s="82">
        <f t="shared" si="40"/>
        <v>0</v>
      </c>
      <c r="G169" s="82">
        <f t="shared" si="40"/>
        <v>0</v>
      </c>
      <c r="H169" s="82">
        <f t="shared" si="40"/>
        <v>-71750</v>
      </c>
      <c r="I169" s="82">
        <f t="shared" si="40"/>
        <v>0</v>
      </c>
      <c r="J169" s="82">
        <f t="shared" si="40"/>
        <v>0</v>
      </c>
      <c r="K169" s="82">
        <f t="shared" si="40"/>
        <v>0</v>
      </c>
      <c r="L169" s="82">
        <f t="shared" si="40"/>
        <v>0</v>
      </c>
      <c r="M169" s="82">
        <f t="shared" si="40"/>
        <v>0</v>
      </c>
      <c r="N169" s="82">
        <f t="shared" si="40"/>
        <v>0</v>
      </c>
      <c r="O169" s="82">
        <f t="shared" si="40"/>
        <v>0</v>
      </c>
      <c r="P169" s="82">
        <f t="shared" si="40"/>
        <v>0</v>
      </c>
      <c r="Q169" s="82">
        <f t="shared" si="40"/>
        <v>0</v>
      </c>
      <c r="R169"/>
    </row>
    <row r="170" spans="1:18" s="45" customFormat="1" hidden="1" outlineLevel="1" x14ac:dyDescent="0.25">
      <c r="B170" s="44"/>
      <c r="C170" s="2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/>
    </row>
    <row r="171" spans="1:18" s="45" customFormat="1" collapsed="1" x14ac:dyDescent="0.25">
      <c r="B171" s="44"/>
      <c r="C171" s="2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/>
    </row>
    <row r="172" spans="1:18" s="19" customFormat="1" x14ac:dyDescent="0.25">
      <c r="B172" s="14" t="s">
        <v>85</v>
      </c>
      <c r="C172" s="76">
        <f>SUM(D173:Q175)-SUM(D172:Q172)</f>
        <v>0</v>
      </c>
      <c r="D172" s="77">
        <f t="shared" ref="D172:Q172" si="41">SUM(D173:D175)</f>
        <v>0</v>
      </c>
      <c r="E172" s="78">
        <f t="shared" si="41"/>
        <v>0</v>
      </c>
      <c r="F172" s="78">
        <f t="shared" si="41"/>
        <v>0</v>
      </c>
      <c r="G172" s="78">
        <f t="shared" si="41"/>
        <v>0</v>
      </c>
      <c r="H172" s="78">
        <f t="shared" si="41"/>
        <v>0</v>
      </c>
      <c r="I172" s="78">
        <f t="shared" si="41"/>
        <v>0</v>
      </c>
      <c r="J172" s="78">
        <f t="shared" si="41"/>
        <v>0</v>
      </c>
      <c r="K172" s="78">
        <f t="shared" si="41"/>
        <v>0</v>
      </c>
      <c r="L172" s="78">
        <f t="shared" si="41"/>
        <v>0</v>
      </c>
      <c r="M172" s="78">
        <f t="shared" si="41"/>
        <v>0</v>
      </c>
      <c r="N172" s="78">
        <f t="shared" si="41"/>
        <v>0</v>
      </c>
      <c r="O172" s="78">
        <f t="shared" si="41"/>
        <v>0</v>
      </c>
      <c r="P172" s="78">
        <f t="shared" si="41"/>
        <v>0</v>
      </c>
      <c r="Q172" s="78">
        <f t="shared" si="41"/>
        <v>0</v>
      </c>
      <c r="R172"/>
    </row>
    <row r="173" spans="1:18" s="19" customFormat="1" hidden="1" outlineLevel="1" x14ac:dyDescent="0.25">
      <c r="B173" s="14" t="s">
        <v>544</v>
      </c>
      <c r="C173" s="79">
        <f>SUM(Biz1cf!D44:Q44)-SUM(D173:Q173)</f>
        <v>0</v>
      </c>
      <c r="D173" s="80">
        <f>Biz1cf!D44</f>
        <v>0</v>
      </c>
      <c r="E173" s="80">
        <f>Biz1cf!E44</f>
        <v>0</v>
      </c>
      <c r="F173" s="80">
        <f>Biz1cf!F44</f>
        <v>0</v>
      </c>
      <c r="G173" s="80">
        <f>Biz1cf!G44</f>
        <v>0</v>
      </c>
      <c r="H173" s="80">
        <f>Biz1cf!H44</f>
        <v>0</v>
      </c>
      <c r="I173" s="80">
        <f>Biz1cf!I44</f>
        <v>0</v>
      </c>
      <c r="J173" s="80">
        <f>Biz1cf!J44</f>
        <v>0</v>
      </c>
      <c r="K173" s="80">
        <f>Biz1cf!K44</f>
        <v>0</v>
      </c>
      <c r="L173" s="80">
        <f>Biz1cf!L44</f>
        <v>0</v>
      </c>
      <c r="M173" s="80">
        <f>Biz1cf!M44</f>
        <v>0</v>
      </c>
      <c r="N173" s="80">
        <f>Biz1cf!N44</f>
        <v>0</v>
      </c>
      <c r="O173" s="80">
        <f>Biz1cf!O44</f>
        <v>0</v>
      </c>
      <c r="P173" s="80">
        <f>Biz1cf!P44</f>
        <v>0</v>
      </c>
      <c r="Q173" s="80">
        <f>Biz1cf!Q44</f>
        <v>0</v>
      </c>
      <c r="R173"/>
    </row>
    <row r="174" spans="1:18" s="19" customFormat="1" hidden="1" outlineLevel="1" x14ac:dyDescent="0.25">
      <c r="B174" s="14" t="s">
        <v>545</v>
      </c>
      <c r="C174" s="79">
        <f>SUM(Biz2cf!D44:Q44)-SUM(D174:Q174)</f>
        <v>0</v>
      </c>
      <c r="D174" s="80">
        <f>Biz2cf!D44</f>
        <v>0</v>
      </c>
      <c r="E174" s="80">
        <f>Biz2cf!E44</f>
        <v>0</v>
      </c>
      <c r="F174" s="80">
        <f>Biz2cf!F44</f>
        <v>0</v>
      </c>
      <c r="G174" s="80">
        <f>Biz2cf!G44</f>
        <v>0</v>
      </c>
      <c r="H174" s="80">
        <f>Biz2cf!H44</f>
        <v>0</v>
      </c>
      <c r="I174" s="80">
        <f>Biz2cf!I44</f>
        <v>0</v>
      </c>
      <c r="J174" s="80">
        <f>Biz2cf!J44</f>
        <v>0</v>
      </c>
      <c r="K174" s="80">
        <f>Biz2cf!K44</f>
        <v>0</v>
      </c>
      <c r="L174" s="80">
        <f>Biz2cf!L44</f>
        <v>0</v>
      </c>
      <c r="M174" s="80">
        <f>Biz2cf!M44</f>
        <v>0</v>
      </c>
      <c r="N174" s="80">
        <f>Biz2cf!N44</f>
        <v>0</v>
      </c>
      <c r="O174" s="80">
        <f>Biz2cf!O44</f>
        <v>0</v>
      </c>
      <c r="P174" s="80">
        <f>Biz2cf!P44</f>
        <v>0</v>
      </c>
      <c r="Q174" s="80">
        <f>Biz2cf!Q44</f>
        <v>0</v>
      </c>
      <c r="R174"/>
    </row>
    <row r="175" spans="1:18" s="19" customFormat="1" hidden="1" outlineLevel="1" x14ac:dyDescent="0.25">
      <c r="B175" s="14" t="s">
        <v>546</v>
      </c>
      <c r="C175" s="79">
        <f>SUM(CORPcf!D44:Q44)-SUM(D175:Q175)</f>
        <v>0</v>
      </c>
      <c r="D175" s="80">
        <f>CORPcf!D44</f>
        <v>0</v>
      </c>
      <c r="E175" s="80">
        <f>CORPcf!E44</f>
        <v>0</v>
      </c>
      <c r="F175" s="80">
        <f>CORPcf!F44</f>
        <v>0</v>
      </c>
      <c r="G175" s="80">
        <f>CORPcf!G44</f>
        <v>0</v>
      </c>
      <c r="H175" s="80">
        <f>CORPcf!H44</f>
        <v>0</v>
      </c>
      <c r="I175" s="80">
        <f>CORPcf!I44</f>
        <v>0</v>
      </c>
      <c r="J175" s="80">
        <f>CORPcf!J44</f>
        <v>0</v>
      </c>
      <c r="K175" s="80">
        <f>CORPcf!K44</f>
        <v>0</v>
      </c>
      <c r="L175" s="80">
        <f>CORPcf!L44</f>
        <v>0</v>
      </c>
      <c r="M175" s="80">
        <f>CORPcf!M44</f>
        <v>0</v>
      </c>
      <c r="N175" s="80">
        <f>CORPcf!N44</f>
        <v>0</v>
      </c>
      <c r="O175" s="80">
        <f>CORPcf!O44</f>
        <v>0</v>
      </c>
      <c r="P175" s="80">
        <f>CORPcf!P44</f>
        <v>0</v>
      </c>
      <c r="Q175" s="80">
        <f>CORPcf!Q44</f>
        <v>0</v>
      </c>
      <c r="R175"/>
    </row>
    <row r="176" spans="1:18" s="19" customFormat="1" hidden="1" outlineLevel="1" x14ac:dyDescent="0.25">
      <c r="B176" s="14"/>
      <c r="C176" s="2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/>
    </row>
    <row r="177" spans="1:18" s="88" customFormat="1" collapsed="1" x14ac:dyDescent="0.25">
      <c r="A177" s="31" t="s">
        <v>86</v>
      </c>
      <c r="B177" s="14"/>
      <c r="C177" s="15">
        <f>SUM(D178:Q180)-SUM(D177:Q177)</f>
        <v>0</v>
      </c>
      <c r="D177" s="87">
        <f t="shared" ref="D177:Q177" si="42">SUM(D178:D180)</f>
        <v>-172877.27900000001</v>
      </c>
      <c r="E177" s="87">
        <f t="shared" si="42"/>
        <v>-59159.848152356091</v>
      </c>
      <c r="F177" s="87">
        <f t="shared" si="42"/>
        <v>-64281.56645231742</v>
      </c>
      <c r="G177" s="87">
        <f t="shared" si="42"/>
        <v>-29177.658057316439</v>
      </c>
      <c r="H177" s="87">
        <f t="shared" si="42"/>
        <v>-90455.62266059051</v>
      </c>
      <c r="I177" s="87">
        <f t="shared" si="42"/>
        <v>-5246.8848890891613</v>
      </c>
      <c r="J177" s="87">
        <f t="shared" si="42"/>
        <v>-3999.3553559239035</v>
      </c>
      <c r="K177" s="87">
        <f t="shared" si="42"/>
        <v>-3999.3553559239035</v>
      </c>
      <c r="L177" s="87">
        <f t="shared" si="42"/>
        <v>-3999.3553559239035</v>
      </c>
      <c r="M177" s="87">
        <f t="shared" si="42"/>
        <v>-45829.046192943337</v>
      </c>
      <c r="N177" s="87">
        <f t="shared" si="42"/>
        <v>-4046.948304602447</v>
      </c>
      <c r="O177" s="87">
        <f t="shared" si="42"/>
        <v>-12144.009295370473</v>
      </c>
      <c r="P177" s="87">
        <f t="shared" si="42"/>
        <v>-8351.4545143517462</v>
      </c>
      <c r="Q177" s="87">
        <f t="shared" si="42"/>
        <v>-26007.900047048453</v>
      </c>
      <c r="R177"/>
    </row>
    <row r="178" spans="1:18" s="19" customFormat="1" hidden="1" outlineLevel="1" x14ac:dyDescent="0.25">
      <c r="B178" s="14" t="s">
        <v>544</v>
      </c>
      <c r="C178" s="17"/>
      <c r="D178" s="20">
        <f t="shared" ref="D178:Q178" si="43">D68+D110+D167+D173</f>
        <v>-37350.905000000006</v>
      </c>
      <c r="E178" s="20">
        <f t="shared" si="43"/>
        <v>-31666.872486580793</v>
      </c>
      <c r="F178" s="20">
        <f t="shared" si="43"/>
        <v>-23553.315412741016</v>
      </c>
      <c r="G178" s="20">
        <f t="shared" si="43"/>
        <v>-1393.827382354244</v>
      </c>
      <c r="H178" s="20">
        <f t="shared" si="43"/>
        <v>-1435.3419159347395</v>
      </c>
      <c r="I178" s="20">
        <f t="shared" si="43"/>
        <v>2052.3793603247032</v>
      </c>
      <c r="J178" s="20">
        <f t="shared" si="43"/>
        <v>3299.908893489961</v>
      </c>
      <c r="K178" s="20">
        <f t="shared" si="43"/>
        <v>3299.908893489961</v>
      </c>
      <c r="L178" s="20">
        <f t="shared" si="43"/>
        <v>3299.908893489961</v>
      </c>
      <c r="M178" s="20">
        <f t="shared" si="43"/>
        <v>-9732.1713610911975</v>
      </c>
      <c r="N178" s="20">
        <f t="shared" si="43"/>
        <v>26232.558414452047</v>
      </c>
      <c r="O178" s="20">
        <f t="shared" si="43"/>
        <v>21074.581811470292</v>
      </c>
      <c r="P178" s="20">
        <f t="shared" si="43"/>
        <v>27228.930757521281</v>
      </c>
      <c r="Q178" s="20">
        <f t="shared" si="43"/>
        <v>10236.186366633396</v>
      </c>
      <c r="R178"/>
    </row>
    <row r="179" spans="1:18" s="19" customFormat="1" hidden="1" outlineLevel="1" x14ac:dyDescent="0.25">
      <c r="A179" s="14"/>
      <c r="B179" s="14" t="s">
        <v>545</v>
      </c>
      <c r="C179" s="17"/>
      <c r="D179" s="20">
        <f t="shared" ref="D179:Q179" si="44">D69+D111+D168+D174</f>
        <v>-7816.0640000000021</v>
      </c>
      <c r="E179" s="20">
        <f t="shared" si="44"/>
        <v>5508.7003342246971</v>
      </c>
      <c r="F179" s="20">
        <f t="shared" si="44"/>
        <v>2870.2279604235955</v>
      </c>
      <c r="G179" s="20">
        <f t="shared" si="44"/>
        <v>-6961.2583537996306</v>
      </c>
      <c r="H179" s="20">
        <f t="shared" si="44"/>
        <v>4511.8746089991346</v>
      </c>
      <c r="I179" s="20">
        <f t="shared" si="44"/>
        <v>67.915651865599216</v>
      </c>
      <c r="J179" s="20">
        <f t="shared" si="44"/>
        <v>67.915651865599216</v>
      </c>
      <c r="K179" s="20">
        <f t="shared" si="44"/>
        <v>67.915651865599216</v>
      </c>
      <c r="L179" s="20">
        <f t="shared" si="44"/>
        <v>67.915651865599216</v>
      </c>
      <c r="M179" s="20">
        <f t="shared" si="44"/>
        <v>-5528.3239725806689</v>
      </c>
      <c r="N179" s="20">
        <f t="shared" si="44"/>
        <v>1690.7113716062959</v>
      </c>
      <c r="O179" s="20">
        <f t="shared" si="44"/>
        <v>31.70658897668909</v>
      </c>
      <c r="P179" s="20">
        <f t="shared" si="44"/>
        <v>307.80880308454698</v>
      </c>
      <c r="Q179" s="20">
        <f t="shared" si="44"/>
        <v>-355.89233872427531</v>
      </c>
      <c r="R179"/>
    </row>
    <row r="180" spans="1:18" s="19" customFormat="1" hidden="1" outlineLevel="1" x14ac:dyDescent="0.25">
      <c r="A180" s="14"/>
      <c r="B180" s="14" t="s">
        <v>546</v>
      </c>
      <c r="C180" s="17"/>
      <c r="D180" s="20">
        <f t="shared" ref="D180:Q180" si="45">D70+D112+D169+D175</f>
        <v>-127710.31</v>
      </c>
      <c r="E180" s="20">
        <f t="shared" si="45"/>
        <v>-33001.675999999992</v>
      </c>
      <c r="F180" s="20">
        <f t="shared" si="45"/>
        <v>-43598.478999999999</v>
      </c>
      <c r="G180" s="20">
        <f t="shared" si="45"/>
        <v>-20822.572321162566</v>
      </c>
      <c r="H180" s="20">
        <f t="shared" si="45"/>
        <v>-93532.155353654904</v>
      </c>
      <c r="I180" s="20">
        <f t="shared" si="45"/>
        <v>-7367.1799012794636</v>
      </c>
      <c r="J180" s="20">
        <f t="shared" si="45"/>
        <v>-7367.1799012794636</v>
      </c>
      <c r="K180" s="20">
        <f t="shared" si="45"/>
        <v>-7367.1799012794636</v>
      </c>
      <c r="L180" s="20">
        <f t="shared" si="45"/>
        <v>-7367.1799012794636</v>
      </c>
      <c r="M180" s="20">
        <f t="shared" si="45"/>
        <v>-30568.550859271469</v>
      </c>
      <c r="N180" s="20">
        <f t="shared" si="45"/>
        <v>-31970.21809066079</v>
      </c>
      <c r="O180" s="20">
        <f t="shared" si="45"/>
        <v>-33250.297695817455</v>
      </c>
      <c r="P180" s="20">
        <f t="shared" si="45"/>
        <v>-35888.194074957573</v>
      </c>
      <c r="Q180" s="20">
        <f t="shared" si="45"/>
        <v>-35888.194074957573</v>
      </c>
      <c r="R180"/>
    </row>
    <row r="181" spans="1:18" s="19" customFormat="1" hidden="1" outlineLevel="1" x14ac:dyDescent="0.25">
      <c r="A181" s="14"/>
      <c r="B181" s="14"/>
      <c r="C181" s="17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/>
    </row>
    <row r="182" spans="1:18" s="19" customFormat="1" collapsed="1" x14ac:dyDescent="0.25">
      <c r="B182" s="14" t="s">
        <v>87</v>
      </c>
      <c r="C182" s="76">
        <f>SUM(D183:Q185)-SUM(D182:Q182)</f>
        <v>0</v>
      </c>
      <c r="D182" s="77">
        <f t="shared" ref="D182:Q182" si="46">SUM(D183:D185)</f>
        <v>627367</v>
      </c>
      <c r="E182" s="78">
        <f t="shared" si="46"/>
        <v>454489.72100000002</v>
      </c>
      <c r="F182" s="78">
        <f t="shared" si="46"/>
        <v>395329.87284764391</v>
      </c>
      <c r="G182" s="78">
        <f t="shared" si="46"/>
        <v>331048.30639532651</v>
      </c>
      <c r="H182" s="78">
        <f t="shared" si="46"/>
        <v>301870.64833801007</v>
      </c>
      <c r="I182" s="78">
        <f t="shared" si="46"/>
        <v>211415.02567741956</v>
      </c>
      <c r="J182" s="78">
        <f t="shared" si="46"/>
        <v>206168.14078833041</v>
      </c>
      <c r="K182" s="78">
        <f t="shared" si="46"/>
        <v>202168.78543240653</v>
      </c>
      <c r="L182" s="78">
        <f t="shared" si="46"/>
        <v>198169.43007648265</v>
      </c>
      <c r="M182" s="78">
        <f t="shared" si="46"/>
        <v>194170.07472055874</v>
      </c>
      <c r="N182" s="78">
        <f t="shared" si="46"/>
        <v>148341.02852761542</v>
      </c>
      <c r="O182" s="78">
        <f t="shared" si="46"/>
        <v>144294.08022301298</v>
      </c>
      <c r="P182" s="78">
        <f t="shared" si="46"/>
        <v>132150.07092764252</v>
      </c>
      <c r="Q182" s="78">
        <f t="shared" si="46"/>
        <v>123798.61641329076</v>
      </c>
      <c r="R182"/>
    </row>
    <row r="183" spans="1:18" s="19" customFormat="1" hidden="1" outlineLevel="1" x14ac:dyDescent="0.25">
      <c r="B183" s="14" t="s">
        <v>544</v>
      </c>
      <c r="C183" s="79">
        <f>SUM(Biz1cf!D46:Q46)-SUM(D183:Q183)</f>
        <v>0</v>
      </c>
      <c r="D183" s="80">
        <f>Biz1cf!D46</f>
        <v>65429</v>
      </c>
      <c r="E183" s="80">
        <f>Biz1cf!E46</f>
        <v>28078.094999999994</v>
      </c>
      <c r="F183" s="80">
        <f>Biz1cf!F46</f>
        <v>-3588.7774865807987</v>
      </c>
      <c r="G183" s="80">
        <f>Biz1cf!G46</f>
        <v>-27142.092899321815</v>
      </c>
      <c r="H183" s="80">
        <f>Biz1cf!H46</f>
        <v>-28535.920281676059</v>
      </c>
      <c r="I183" s="80">
        <f>Biz1cf!I46</f>
        <v>-29971.262197610798</v>
      </c>
      <c r="J183" s="80">
        <f>Biz1cf!J46</f>
        <v>-27918.882837286095</v>
      </c>
      <c r="K183" s="80">
        <f>Biz1cf!K46</f>
        <v>-24618.973943796133</v>
      </c>
      <c r="L183" s="80">
        <f>Biz1cf!L46</f>
        <v>-21319.06505030617</v>
      </c>
      <c r="M183" s="80">
        <f>Biz1cf!M46</f>
        <v>-18019.156156816207</v>
      </c>
      <c r="N183" s="80">
        <f>Biz1cf!N46</f>
        <v>-27751.327517907404</v>
      </c>
      <c r="O183" s="80">
        <f>Biz1cf!O46</f>
        <v>-1518.7691034553573</v>
      </c>
      <c r="P183" s="80">
        <f>Biz1cf!P46</f>
        <v>19555.812708014935</v>
      </c>
      <c r="Q183" s="80">
        <f>Biz1cf!Q46</f>
        <v>46784.743465536216</v>
      </c>
      <c r="R183"/>
    </row>
    <row r="184" spans="1:18" s="19" customFormat="1" hidden="1" outlineLevel="1" x14ac:dyDescent="0.25">
      <c r="B184" s="14" t="s">
        <v>545</v>
      </c>
      <c r="C184" s="79">
        <f>SUM(Biz2cf!D46:Q46)-SUM(D184:Q184)</f>
        <v>0</v>
      </c>
      <c r="D184" s="80">
        <f>Biz2cf!D46</f>
        <v>4984</v>
      </c>
      <c r="E184" s="80">
        <f>Biz2cf!E46</f>
        <v>-2832.0640000000021</v>
      </c>
      <c r="F184" s="80">
        <f>Biz2cf!F46</f>
        <v>2676.636334224695</v>
      </c>
      <c r="G184" s="80">
        <f>Biz2cf!G46</f>
        <v>5546.8642946482905</v>
      </c>
      <c r="H184" s="80">
        <f>Biz2cf!H46</f>
        <v>-1414.3940591513401</v>
      </c>
      <c r="I184" s="80">
        <f>Biz2cf!I46</f>
        <v>3097.4805498477945</v>
      </c>
      <c r="J184" s="80">
        <f>Biz2cf!J46</f>
        <v>3165.3962017133936</v>
      </c>
      <c r="K184" s="80">
        <f>Biz2cf!K46</f>
        <v>3233.3118535789927</v>
      </c>
      <c r="L184" s="80">
        <f>Biz2cf!L46</f>
        <v>3301.2275054445918</v>
      </c>
      <c r="M184" s="80">
        <f>Biz2cf!M46</f>
        <v>3369.1431573101909</v>
      </c>
      <c r="N184" s="80">
        <f>Biz2cf!N46</f>
        <v>-2159.180815270478</v>
      </c>
      <c r="O184" s="80">
        <f>Biz2cf!O46</f>
        <v>-468.46944366418211</v>
      </c>
      <c r="P184" s="80">
        <f>Biz2cf!P46</f>
        <v>-436.76285468749302</v>
      </c>
      <c r="Q184" s="80">
        <f>Biz2cf!Q46</f>
        <v>-128.95405160294604</v>
      </c>
      <c r="R184"/>
    </row>
    <row r="185" spans="1:18" s="19" customFormat="1" hidden="1" outlineLevel="1" x14ac:dyDescent="0.25">
      <c r="B185" s="14" t="s">
        <v>546</v>
      </c>
      <c r="C185" s="79">
        <f>SUM(CORPcf!D46:Q46)-SUM(D185:Q185)</f>
        <v>0</v>
      </c>
      <c r="D185" s="80">
        <f>CORPcf!D46</f>
        <v>556954</v>
      </c>
      <c r="E185" s="80">
        <f>CORPcf!E46</f>
        <v>429243.69</v>
      </c>
      <c r="F185" s="80">
        <f>CORPcf!F46</f>
        <v>396242.01400000002</v>
      </c>
      <c r="G185" s="80">
        <f>CORPcf!G46</f>
        <v>352643.53500000003</v>
      </c>
      <c r="H185" s="80">
        <f>CORPcf!H46</f>
        <v>331820.96267883747</v>
      </c>
      <c r="I185" s="80">
        <f>CORPcf!I46</f>
        <v>238288.80732518257</v>
      </c>
      <c r="J185" s="80">
        <f>CORPcf!J46</f>
        <v>230921.62742390312</v>
      </c>
      <c r="K185" s="80">
        <f>CORPcf!K46</f>
        <v>223554.44752262367</v>
      </c>
      <c r="L185" s="80">
        <f>CORPcf!L46</f>
        <v>216187.26762134422</v>
      </c>
      <c r="M185" s="80">
        <f>CORPcf!M46</f>
        <v>208820.08772006477</v>
      </c>
      <c r="N185" s="80">
        <f>CORPcf!N46</f>
        <v>178251.53686079331</v>
      </c>
      <c r="O185" s="80">
        <f>CORPcf!O46</f>
        <v>146281.31877013252</v>
      </c>
      <c r="P185" s="80">
        <f>CORPcf!P46</f>
        <v>113031.02107431507</v>
      </c>
      <c r="Q185" s="80">
        <f>CORPcf!Q46</f>
        <v>77142.826999357494</v>
      </c>
      <c r="R185"/>
    </row>
    <row r="186" spans="1:18" s="19" customFormat="1" hidden="1" outlineLevel="1" x14ac:dyDescent="0.25">
      <c r="B186" s="14"/>
      <c r="C186" s="17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/>
    </row>
    <row r="187" spans="1:18" s="88" customFormat="1" collapsed="1" x14ac:dyDescent="0.25">
      <c r="A187" s="31" t="s">
        <v>88</v>
      </c>
      <c r="B187" s="14"/>
      <c r="C187" s="15">
        <f>SUM(D188:Q190)-SUM(D187:Q187)</f>
        <v>0</v>
      </c>
      <c r="D187" s="87">
        <f t="shared" ref="D187:Q187" si="47">SUM(D188:D190)</f>
        <v>454489.72100000002</v>
      </c>
      <c r="E187" s="87">
        <f t="shared" si="47"/>
        <v>395329.87284764391</v>
      </c>
      <c r="F187" s="87">
        <f t="shared" si="47"/>
        <v>331048.30639532651</v>
      </c>
      <c r="G187" s="87">
        <f t="shared" si="47"/>
        <v>301870.64833801007</v>
      </c>
      <c r="H187" s="87">
        <f t="shared" si="47"/>
        <v>211415.02567741956</v>
      </c>
      <c r="I187" s="87">
        <f t="shared" si="47"/>
        <v>206168.14078833041</v>
      </c>
      <c r="J187" s="87">
        <f t="shared" si="47"/>
        <v>202168.78543240653</v>
      </c>
      <c r="K187" s="87">
        <f t="shared" si="47"/>
        <v>198169.43007648265</v>
      </c>
      <c r="L187" s="87">
        <f t="shared" si="47"/>
        <v>194170.07472055874</v>
      </c>
      <c r="M187" s="87">
        <f t="shared" si="47"/>
        <v>148341.02852761542</v>
      </c>
      <c r="N187" s="87">
        <f t="shared" si="47"/>
        <v>144294.08022301298</v>
      </c>
      <c r="O187" s="87">
        <f t="shared" si="47"/>
        <v>132150.07092764252</v>
      </c>
      <c r="P187" s="87">
        <f t="shared" si="47"/>
        <v>123798.61641329076</v>
      </c>
      <c r="Q187" s="87">
        <f t="shared" si="47"/>
        <v>97790.716366242312</v>
      </c>
      <c r="R187"/>
    </row>
    <row r="188" spans="1:18" s="19" customFormat="1" hidden="1" outlineLevel="1" x14ac:dyDescent="0.25">
      <c r="B188" s="14" t="s">
        <v>544</v>
      </c>
      <c r="C188" s="17"/>
      <c r="D188" s="20">
        <f t="shared" ref="D188:Q188" si="48">D178+D183</f>
        <v>28078.094999999994</v>
      </c>
      <c r="E188" s="20">
        <f t="shared" si="48"/>
        <v>-3588.7774865807987</v>
      </c>
      <c r="F188" s="20">
        <f t="shared" si="48"/>
        <v>-27142.092899321815</v>
      </c>
      <c r="G188" s="20">
        <f t="shared" si="48"/>
        <v>-28535.920281676059</v>
      </c>
      <c r="H188" s="20">
        <f t="shared" si="48"/>
        <v>-29971.262197610798</v>
      </c>
      <c r="I188" s="20">
        <f t="shared" si="48"/>
        <v>-27918.882837286095</v>
      </c>
      <c r="J188" s="20">
        <f t="shared" si="48"/>
        <v>-24618.973943796133</v>
      </c>
      <c r="K188" s="20">
        <f t="shared" si="48"/>
        <v>-21319.06505030617</v>
      </c>
      <c r="L188" s="20">
        <f t="shared" si="48"/>
        <v>-18019.156156816207</v>
      </c>
      <c r="M188" s="20">
        <f t="shared" si="48"/>
        <v>-27751.327517907404</v>
      </c>
      <c r="N188" s="20">
        <f t="shared" si="48"/>
        <v>-1518.7691034553573</v>
      </c>
      <c r="O188" s="20">
        <f t="shared" si="48"/>
        <v>19555.812708014935</v>
      </c>
      <c r="P188" s="20">
        <f t="shared" si="48"/>
        <v>46784.743465536216</v>
      </c>
      <c r="Q188" s="20">
        <f t="shared" si="48"/>
        <v>57020.929832169611</v>
      </c>
      <c r="R188"/>
    </row>
    <row r="189" spans="1:18" s="19" customFormat="1" hidden="1" outlineLevel="1" x14ac:dyDescent="0.25">
      <c r="A189" s="14"/>
      <c r="B189" s="14" t="s">
        <v>545</v>
      </c>
      <c r="C189" s="17"/>
      <c r="D189" s="20">
        <f t="shared" ref="D189:Q189" si="49">D179+D184</f>
        <v>-2832.0640000000021</v>
      </c>
      <c r="E189" s="20">
        <f t="shared" si="49"/>
        <v>2676.636334224695</v>
      </c>
      <c r="F189" s="20">
        <f t="shared" si="49"/>
        <v>5546.8642946482905</v>
      </c>
      <c r="G189" s="20">
        <f t="shared" si="49"/>
        <v>-1414.3940591513401</v>
      </c>
      <c r="H189" s="20">
        <f t="shared" si="49"/>
        <v>3097.4805498477945</v>
      </c>
      <c r="I189" s="20">
        <f t="shared" si="49"/>
        <v>3165.3962017133936</v>
      </c>
      <c r="J189" s="20">
        <f t="shared" si="49"/>
        <v>3233.3118535789927</v>
      </c>
      <c r="K189" s="20">
        <f t="shared" si="49"/>
        <v>3301.2275054445918</v>
      </c>
      <c r="L189" s="20">
        <f t="shared" si="49"/>
        <v>3369.1431573101909</v>
      </c>
      <c r="M189" s="20">
        <f t="shared" si="49"/>
        <v>-2159.180815270478</v>
      </c>
      <c r="N189" s="20">
        <f t="shared" si="49"/>
        <v>-468.46944366418211</v>
      </c>
      <c r="O189" s="20">
        <f t="shared" si="49"/>
        <v>-436.76285468749302</v>
      </c>
      <c r="P189" s="20">
        <f t="shared" si="49"/>
        <v>-128.95405160294604</v>
      </c>
      <c r="Q189" s="20">
        <f t="shared" si="49"/>
        <v>-484.84639032722134</v>
      </c>
      <c r="R189"/>
    </row>
    <row r="190" spans="1:18" s="19" customFormat="1" hidden="1" outlineLevel="1" x14ac:dyDescent="0.25">
      <c r="A190" s="14"/>
      <c r="B190" s="14" t="s">
        <v>546</v>
      </c>
      <c r="C190" s="17"/>
      <c r="D190" s="20">
        <f t="shared" ref="D190:Q190" si="50">D180+D185</f>
        <v>429243.69</v>
      </c>
      <c r="E190" s="20">
        <f t="shared" si="50"/>
        <v>396242.01400000002</v>
      </c>
      <c r="F190" s="20">
        <f t="shared" si="50"/>
        <v>352643.53500000003</v>
      </c>
      <c r="G190" s="20">
        <f t="shared" si="50"/>
        <v>331820.96267883747</v>
      </c>
      <c r="H190" s="20">
        <f t="shared" si="50"/>
        <v>238288.80732518257</v>
      </c>
      <c r="I190" s="20">
        <f t="shared" si="50"/>
        <v>230921.62742390312</v>
      </c>
      <c r="J190" s="20">
        <f t="shared" si="50"/>
        <v>223554.44752262367</v>
      </c>
      <c r="K190" s="20">
        <f t="shared" si="50"/>
        <v>216187.26762134422</v>
      </c>
      <c r="L190" s="20">
        <f t="shared" si="50"/>
        <v>208820.08772006477</v>
      </c>
      <c r="M190" s="20">
        <f t="shared" si="50"/>
        <v>178251.53686079331</v>
      </c>
      <c r="N190" s="20">
        <f t="shared" si="50"/>
        <v>146281.31877013252</v>
      </c>
      <c r="O190" s="20">
        <f t="shared" si="50"/>
        <v>113031.02107431507</v>
      </c>
      <c r="P190" s="20">
        <f t="shared" si="50"/>
        <v>77142.826999357494</v>
      </c>
      <c r="Q190" s="20">
        <f t="shared" si="50"/>
        <v>41254.632924399921</v>
      </c>
      <c r="R190"/>
    </row>
    <row r="191" spans="1:18" s="19" customFormat="1" collapsed="1" x14ac:dyDescent="0.25">
      <c r="C191" s="2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/>
    </row>
    <row r="192" spans="1:18" s="442" customFormat="1" ht="9" collapsed="1" x14ac:dyDescent="0.15">
      <c r="A192" s="441" t="s">
        <v>55</v>
      </c>
      <c r="C192" s="443">
        <f>SUM(D192:Q192)-SUM(D193:Q195)</f>
        <v>0</v>
      </c>
      <c r="D192" s="443">
        <f>BalSheet!D5-D187</f>
        <v>11934.848999999987</v>
      </c>
      <c r="E192" s="443">
        <f>BalSheet!E5-E187</f>
        <v>24949.377999999968</v>
      </c>
      <c r="F192" s="443">
        <f>BalSheet!F5-F187</f>
        <v>38072.701000000001</v>
      </c>
      <c r="G192" s="443">
        <f>BalSheet!G5-G187</f>
        <v>48786.155999999959</v>
      </c>
      <c r="H192" s="443">
        <f>BalSheet!H5-H187</f>
        <v>62480.742999999959</v>
      </c>
      <c r="I192" s="443">
        <f>BalSheet!I5-I187</f>
        <v>67716.35417366022</v>
      </c>
      <c r="J192" s="443">
        <f>BalSheet!J5-J187</f>
        <v>71704.435814155149</v>
      </c>
      <c r="K192" s="443">
        <f>BalSheet!K5-K187</f>
        <v>75692.517454650137</v>
      </c>
      <c r="L192" s="443">
        <f>BalSheet!L5-L187</f>
        <v>79680.599095145153</v>
      </c>
      <c r="M192" s="443">
        <f>BalSheet!M5-M187</f>
        <v>27553.087387094274</v>
      </c>
      <c r="N192" s="443">
        <f>BalSheet!N5-N187</f>
        <v>48484.859180423606</v>
      </c>
      <c r="O192" s="443">
        <f>BalSheet!O5-O187</f>
        <v>70170.936597418098</v>
      </c>
      <c r="P192" s="443">
        <f>BalSheet!P5-P187</f>
        <v>89063.873895492434</v>
      </c>
      <c r="Q192" s="443">
        <f>BalSheet!Q5-Q187</f>
        <v>104114.67806648712</v>
      </c>
      <c r="R192" s="444"/>
    </row>
    <row r="193" spans="2:18" s="445" customFormat="1" ht="9" hidden="1" outlineLevel="1" x14ac:dyDescent="0.15">
      <c r="B193" s="446" t="s">
        <v>544</v>
      </c>
      <c r="C193" s="447">
        <f>SUM(BalSheet!D6:Q6)-SUM(D188:Q188)</f>
        <v>817909.21201392659</v>
      </c>
      <c r="D193" s="448">
        <f>BalSheet!D6-D188</f>
        <v>8434.7849999999962</v>
      </c>
      <c r="E193" s="448">
        <f>BalSheet!E6-E188</f>
        <v>17991.215</v>
      </c>
      <c r="F193" s="448">
        <f>BalSheet!F6-F188</f>
        <v>27142.414000000001</v>
      </c>
      <c r="G193" s="448">
        <f>BalSheet!G6-G188</f>
        <v>35503.036999999982</v>
      </c>
      <c r="H193" s="448">
        <f>BalSheet!H6-H188</f>
        <v>44303.036999999982</v>
      </c>
      <c r="I193" s="448">
        <f>BalSheet!I6-I188</f>
        <v>48541.853536160233</v>
      </c>
      <c r="J193" s="448">
        <f>BalSheet!J6-J188</f>
        <v>51533.140539155225</v>
      </c>
      <c r="K193" s="448">
        <f>BalSheet!K6-K188</f>
        <v>54524.42754215021</v>
      </c>
      <c r="L193" s="448">
        <f>BalSheet!L6-L188</f>
        <v>57515.714545145202</v>
      </c>
      <c r="M193" s="448">
        <f>BalSheet!M6-M188</f>
        <v>65227.989287094337</v>
      </c>
      <c r="N193" s="448">
        <f>BalSheet!N6-N188</f>
        <v>78596.193080423691</v>
      </c>
      <c r="O193" s="448">
        <f>BalSheet!O6-O188</f>
        <v>92904.952897418203</v>
      </c>
      <c r="P193" s="448">
        <f>BalSheet!P6-P188</f>
        <v>110812.57259549253</v>
      </c>
      <c r="Q193" s="448">
        <f>BalSheet!Q6-Q188</f>
        <v>124877.87999088704</v>
      </c>
      <c r="R193" s="444"/>
    </row>
    <row r="194" spans="2:18" s="445" customFormat="1" ht="9" hidden="1" outlineLevel="1" x14ac:dyDescent="0.15">
      <c r="B194" s="446" t="s">
        <v>545</v>
      </c>
      <c r="C194" s="447">
        <f>SUM(BalSheet!D7:Q7)-SUM(D189:Q189)</f>
        <v>160966.84300000008</v>
      </c>
      <c r="D194" s="448">
        <f>BalSheet!D7-D189</f>
        <v>2832.0640000000021</v>
      </c>
      <c r="E194" s="448">
        <f>BalSheet!E7-E189</f>
        <v>4746.3680000000022</v>
      </c>
      <c r="F194" s="448">
        <f>BalSheet!F7-F189</f>
        <v>6655.6700000000055</v>
      </c>
      <c r="G194" s="448">
        <f>BalSheet!G7-G189</f>
        <v>8238.4310000000041</v>
      </c>
      <c r="H194" s="448">
        <f>BalSheet!H7-H189</f>
        <v>10036.431000000006</v>
      </c>
      <c r="I194" s="448">
        <f>BalSheet!I7-I189</f>
        <v>10446.431000000008</v>
      </c>
      <c r="J194" s="448">
        <f>BalSheet!J7-J189</f>
        <v>10856.431000000008</v>
      </c>
      <c r="K194" s="448">
        <f>BalSheet!K7-K189</f>
        <v>11266.431000000008</v>
      </c>
      <c r="L194" s="448">
        <f>BalSheet!L7-L189</f>
        <v>11676.43100000001</v>
      </c>
      <c r="M194" s="448">
        <f>BalSheet!M7-M189</f>
        <v>13316.43100000001</v>
      </c>
      <c r="N194" s="448">
        <f>BalSheet!N7-N189</f>
        <v>14956.431000000006</v>
      </c>
      <c r="O194" s="448">
        <f>BalSheet!O7-O189</f>
        <v>16801.431000000004</v>
      </c>
      <c r="P194" s="448">
        <f>BalSheet!P7-P189</f>
        <v>18646.431</v>
      </c>
      <c r="Q194" s="448">
        <f>BalSheet!Q7-Q189</f>
        <v>20491.431</v>
      </c>
      <c r="R194" s="444"/>
    </row>
    <row r="195" spans="2:18" s="445" customFormat="1" ht="9" hidden="1" outlineLevel="1" x14ac:dyDescent="0.15">
      <c r="B195" s="446" t="s">
        <v>546</v>
      </c>
      <c r="C195" s="447">
        <f>SUM(BalSheet!D8:Q8)-SUM(D190:Q190)</f>
        <v>-158470.88634940097</v>
      </c>
      <c r="D195" s="448">
        <f>BalSheet!D8-D190</f>
        <v>668</v>
      </c>
      <c r="E195" s="448">
        <f>BalSheet!E8-E190</f>
        <v>2211.7949999999837</v>
      </c>
      <c r="F195" s="448">
        <f>BalSheet!F8-F190</f>
        <v>4274.6169999999693</v>
      </c>
      <c r="G195" s="448">
        <f>BalSheet!G8-G190</f>
        <v>5044.6879999999655</v>
      </c>
      <c r="H195" s="448">
        <f>BalSheet!H8-H190</f>
        <v>8141.2749999999651</v>
      </c>
      <c r="I195" s="448">
        <f>BalSheet!I8-I190</f>
        <v>8728.0696374999534</v>
      </c>
      <c r="J195" s="448">
        <f>BalSheet!J8-J190</f>
        <v>9314.8642749999417</v>
      </c>
      <c r="K195" s="448">
        <f>BalSheet!K8-K190</f>
        <v>9901.65891249993</v>
      </c>
      <c r="L195" s="448">
        <f>BalSheet!L8-L190</f>
        <v>10488.453549999918</v>
      </c>
      <c r="M195" s="448">
        <f>BalSheet!M8-M190</f>
        <v>-50991.332900000081</v>
      </c>
      <c r="N195" s="448">
        <f>BalSheet!N8-N190</f>
        <v>-45067.764900000097</v>
      </c>
      <c r="O195" s="448">
        <f>BalSheet!O8-O190</f>
        <v>-39535.447300000102</v>
      </c>
      <c r="P195" s="448">
        <f>BalSheet!P8-P190</f>
        <v>-40395.129700000107</v>
      </c>
      <c r="Q195" s="448">
        <f>BalSheet!Q8-Q190</f>
        <v>-41254.632924399921</v>
      </c>
      <c r="R195" s="444"/>
    </row>
    <row r="196" spans="2:18" collapsed="1" x14ac:dyDescent="0.25"/>
  </sheetData>
  <sheetProtection algorithmName="SHA-512" hashValue="snX2b7MAGFIUy5QNQIIRh3Y44tzoAa9IAwjjcXM6OxH0apngRmbESBrFst+5B7HKn3EwroOFvrSL3AxePgqKcw==" saltValue="oGK6NRpyJifat+b4S4Vnhg==" spinCount="100000" sheet="1" objects="1" scenarios="1"/>
  <conditionalFormatting sqref="C192:Q195 C5:C191">
    <cfRule type="cellIs" dxfId="12" priority="2" operator="notBetween">
      <formula>-0.00000001</formula>
      <formula>0.00000001</formula>
    </cfRule>
  </conditionalFormatting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H445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outlineLevelRow="1" x14ac:dyDescent="0.25"/>
  <cols>
    <col min="1" max="1" width="6.140625" customWidth="1"/>
    <col min="2" max="2" width="28.28515625" customWidth="1"/>
    <col min="3" max="3" width="1.85546875" style="6" customWidth="1"/>
    <col min="4" max="4" width="10.7109375" bestFit="1" customWidth="1"/>
    <col min="5" max="5" width="9.85546875" bestFit="1" customWidth="1"/>
    <col min="6" max="6" width="10" bestFit="1" customWidth="1"/>
    <col min="7" max="7" width="9.85546875" bestFit="1" customWidth="1"/>
    <col min="8" max="8" width="9.85546875" style="36" bestFit="1" customWidth="1"/>
    <col min="9" max="9" width="10.28515625" customWidth="1"/>
    <col min="10" max="10" width="9.85546875" bestFit="1" customWidth="1"/>
    <col min="11" max="11" width="10" bestFit="1" customWidth="1"/>
    <col min="12" max="12" width="9.85546875" bestFit="1" customWidth="1"/>
    <col min="13" max="15" width="9.85546875" style="36" bestFit="1" customWidth="1"/>
    <col min="16" max="16" width="10" style="36" bestFit="1" customWidth="1"/>
    <col min="17" max="17" width="9.85546875" style="36" bestFit="1" customWidth="1"/>
    <col min="18" max="18" width="9.85546875" bestFit="1" customWidth="1"/>
  </cols>
  <sheetData>
    <row r="1" spans="1:18" s="14" customFormat="1" x14ac:dyDescent="0.25">
      <c r="A1" s="31" t="str">
        <f>'P&amp;L'!A1</f>
        <v>Consolidated Company View</v>
      </c>
      <c r="C1" s="6"/>
    </row>
    <row r="2" spans="1:18" s="14" customFormat="1" ht="15.75" thickBot="1" x14ac:dyDescent="0.3">
      <c r="A2" s="31" t="s">
        <v>110</v>
      </c>
      <c r="C2" s="6"/>
      <c r="D2" s="168" t="str">
        <f>'P&amp;L'!D2</f>
        <v>Fiscal Years:</v>
      </c>
      <c r="E2" s="168"/>
      <c r="F2" s="168"/>
      <c r="G2" s="168"/>
      <c r="H2" s="169"/>
      <c r="I2" s="170" t="str">
        <f>'P&amp;L'!I2</f>
        <v>Quarters, FY2013</v>
      </c>
      <c r="J2" s="170"/>
      <c r="K2" s="170"/>
      <c r="L2" s="170"/>
      <c r="M2" s="171" t="str">
        <f>'P&amp;L'!M2</f>
        <v>Fiscal Years:</v>
      </c>
      <c r="N2" s="172"/>
      <c r="O2" s="169"/>
      <c r="P2" s="169"/>
      <c r="Q2" s="169"/>
    </row>
    <row r="3" spans="1:18" ht="15.75" thickBot="1" x14ac:dyDescent="0.3"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f>'P&amp;L'!I3</f>
        <v>41243</v>
      </c>
      <c r="J3" s="9">
        <f>'P&amp;L'!J3</f>
        <v>41333</v>
      </c>
      <c r="K3" s="9">
        <f>'P&amp;L'!K3</f>
        <v>41425</v>
      </c>
      <c r="L3" s="9">
        <f>'P&amp;L'!L3</f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  <c r="R3" s="14"/>
    </row>
    <row r="4" spans="1:18" s="14" customFormat="1" collapsed="1" x14ac:dyDescent="0.25">
      <c r="A4" s="31" t="s">
        <v>115</v>
      </c>
      <c r="C4" s="6"/>
      <c r="H4" s="31"/>
      <c r="M4" s="31"/>
      <c r="N4" s="31"/>
      <c r="O4" s="31"/>
      <c r="P4" s="31"/>
      <c r="Q4" s="31"/>
    </row>
    <row r="5" spans="1:18" s="14" customFormat="1" collapsed="1" x14ac:dyDescent="0.25">
      <c r="A5" s="29" t="s">
        <v>116</v>
      </c>
      <c r="C5" s="6"/>
      <c r="H5" s="31"/>
      <c r="M5" s="31"/>
      <c r="N5" s="31"/>
      <c r="O5" s="31"/>
      <c r="P5" s="31"/>
      <c r="Q5" s="31"/>
    </row>
    <row r="6" spans="1:18" s="14" customFormat="1" collapsed="1" x14ac:dyDescent="0.25">
      <c r="B6" s="14" t="s">
        <v>117</v>
      </c>
      <c r="C6" s="6"/>
      <c r="D6" s="173">
        <f t="shared" ref="D6:Q6" si="0">IF(D209=0,"",(D209-D214)/D209)</f>
        <v>1.4898046629683902E-2</v>
      </c>
      <c r="E6" s="173">
        <f t="shared" si="0"/>
        <v>-3.415355330627784E-2</v>
      </c>
      <c r="F6" s="173">
        <f t="shared" si="0"/>
        <v>5.224832877794975E-2</v>
      </c>
      <c r="G6" s="173">
        <f t="shared" si="0"/>
        <v>6.7304904289791079E-2</v>
      </c>
      <c r="H6" s="173">
        <f t="shared" si="0"/>
        <v>8.0794237479146533E-2</v>
      </c>
      <c r="I6" s="173">
        <f t="shared" si="0"/>
        <v>7.8210232105350525E-2</v>
      </c>
      <c r="J6" s="173">
        <f t="shared" si="0"/>
        <v>7.8210232105350525E-2</v>
      </c>
      <c r="K6" s="173">
        <f t="shared" si="0"/>
        <v>7.8210232105350525E-2</v>
      </c>
      <c r="L6" s="173">
        <f t="shared" si="0"/>
        <v>7.8210232105350525E-2</v>
      </c>
      <c r="M6" s="173">
        <f t="shared" si="0"/>
        <v>7.8210232105350525E-2</v>
      </c>
      <c r="N6" s="173">
        <f t="shared" si="0"/>
        <v>8.0968581677532278E-2</v>
      </c>
      <c r="O6" s="173">
        <f t="shared" si="0"/>
        <v>8.1861410312261684E-2</v>
      </c>
      <c r="P6" s="173">
        <f t="shared" si="0"/>
        <v>8.2354325232927503E-2</v>
      </c>
      <c r="Q6" s="173">
        <f t="shared" si="0"/>
        <v>8.4788813866105914E-2</v>
      </c>
    </row>
    <row r="7" spans="1:18" s="14" customFormat="1" ht="14.45" hidden="1" customHeight="1" outlineLevel="1" collapsed="1" x14ac:dyDescent="0.25">
      <c r="B7" s="14" t="s">
        <v>544</v>
      </c>
      <c r="C7" s="6"/>
      <c r="D7" s="174">
        <f t="shared" ref="D7:Q7" si="1">IF(D210=0,"",(D210-D215)/D210)</f>
        <v>-7.0584303347890828E-3</v>
      </c>
      <c r="E7" s="174">
        <f t="shared" si="1"/>
        <v>-0.11790486417586639</v>
      </c>
      <c r="F7" s="174">
        <f t="shared" si="1"/>
        <v>-2.6036984917146593E-4</v>
      </c>
      <c r="G7" s="174">
        <f t="shared" si="1"/>
        <v>5.838233243808915E-2</v>
      </c>
      <c r="H7" s="174">
        <f t="shared" si="1"/>
        <v>8.0359370794129886E-2</v>
      </c>
      <c r="I7" s="174">
        <f t="shared" si="1"/>
        <v>7.6201169303705185E-2</v>
      </c>
      <c r="J7" s="174">
        <f t="shared" si="1"/>
        <v>7.6201169303705185E-2</v>
      </c>
      <c r="K7" s="174">
        <f t="shared" si="1"/>
        <v>7.6201169303705185E-2</v>
      </c>
      <c r="L7" s="174">
        <f t="shared" si="1"/>
        <v>7.6201169303705185E-2</v>
      </c>
      <c r="M7" s="174">
        <f t="shared" si="1"/>
        <v>7.6201169303705185E-2</v>
      </c>
      <c r="N7" s="174">
        <f t="shared" si="1"/>
        <v>7.9533355880523418E-2</v>
      </c>
      <c r="O7" s="174">
        <f t="shared" si="1"/>
        <v>8.0350758455083326E-2</v>
      </c>
      <c r="P7" s="174">
        <f t="shared" si="1"/>
        <v>8.0870942650193262E-2</v>
      </c>
      <c r="Q7" s="174">
        <f t="shared" si="1"/>
        <v>8.312017362377537E-2</v>
      </c>
    </row>
    <row r="8" spans="1:18" s="14" customFormat="1" ht="14.45" hidden="1" customHeight="1" outlineLevel="1" collapsed="1" x14ac:dyDescent="0.25">
      <c r="B8" s="14" t="s">
        <v>545</v>
      </c>
      <c r="C8" s="6"/>
      <c r="D8" s="174">
        <f t="shared" ref="D8:Q8" si="2">IF(D211=0,"",(D211-D216)/D211)</f>
        <v>5.1940935708738138E-2</v>
      </c>
      <c r="E8" s="174">
        <f t="shared" si="2"/>
        <v>8.8289265159729749E-2</v>
      </c>
      <c r="F8" s="174">
        <f t="shared" si="2"/>
        <v>0.14126638095474026</v>
      </c>
      <c r="G8" s="174">
        <f t="shared" si="2"/>
        <v>0.11579601287626362</v>
      </c>
      <c r="H8" s="174">
        <f t="shared" si="2"/>
        <v>7.9239023295695862E-2</v>
      </c>
      <c r="I8" s="174">
        <f t="shared" si="2"/>
        <v>8.734057022198996E-2</v>
      </c>
      <c r="J8" s="174">
        <f t="shared" si="2"/>
        <v>8.734057022198996E-2</v>
      </c>
      <c r="K8" s="174">
        <f t="shared" si="2"/>
        <v>8.734057022198996E-2</v>
      </c>
      <c r="L8" s="174">
        <f t="shared" si="2"/>
        <v>8.734057022198996E-2</v>
      </c>
      <c r="M8" s="174">
        <f t="shared" si="2"/>
        <v>8.734057022198996E-2</v>
      </c>
      <c r="N8" s="174">
        <f t="shared" si="2"/>
        <v>8.7418916008485198E-2</v>
      </c>
      <c r="O8" s="174">
        <f t="shared" si="2"/>
        <v>8.7418916008485031E-2</v>
      </c>
      <c r="P8" s="174">
        <f t="shared" si="2"/>
        <v>8.7418916008485031E-2</v>
      </c>
      <c r="Q8" s="174">
        <f t="shared" si="2"/>
        <v>8.7418916008485031E-2</v>
      </c>
    </row>
    <row r="9" spans="1:18" s="14" customFormat="1" ht="14.45" hidden="1" customHeight="1" outlineLevel="1" collapsed="1" x14ac:dyDescent="0.25">
      <c r="B9" s="14" t="s">
        <v>546</v>
      </c>
      <c r="C9" s="6"/>
      <c r="D9" s="174">
        <f t="shared" ref="D9:Q9" si="3">IF(D212=0,"",(D212-D217)/D212)</f>
        <v>1.6125776397515528</v>
      </c>
      <c r="E9" s="174">
        <f t="shared" si="3"/>
        <v>1.4</v>
      </c>
      <c r="F9" s="174">
        <f t="shared" si="3"/>
        <v>1.4893617021276595</v>
      </c>
      <c r="G9" s="174">
        <f t="shared" si="3"/>
        <v>1.8183333333333334</v>
      </c>
      <c r="H9" s="174">
        <f t="shared" si="3"/>
        <v>1.8917244506112665</v>
      </c>
      <c r="I9" s="174">
        <f t="shared" si="3"/>
        <v>1</v>
      </c>
      <c r="J9" s="174">
        <f t="shared" si="3"/>
        <v>1</v>
      </c>
      <c r="K9" s="174">
        <f t="shared" si="3"/>
        <v>1</v>
      </c>
      <c r="L9" s="174">
        <f t="shared" si="3"/>
        <v>1</v>
      </c>
      <c r="M9" s="174">
        <f t="shared" si="3"/>
        <v>1</v>
      </c>
      <c r="N9" s="174">
        <f t="shared" si="3"/>
        <v>1</v>
      </c>
      <c r="O9" s="174">
        <f t="shared" si="3"/>
        <v>1</v>
      </c>
      <c r="P9" s="174">
        <f t="shared" si="3"/>
        <v>1</v>
      </c>
      <c r="Q9" s="174">
        <f t="shared" si="3"/>
        <v>1</v>
      </c>
    </row>
    <row r="10" spans="1:18" s="14" customFormat="1" ht="14.45" hidden="1" customHeight="1" outlineLevel="1" collapsed="1" x14ac:dyDescent="0.25">
      <c r="C10" s="6"/>
      <c r="H10" s="31"/>
      <c r="M10" s="31"/>
      <c r="N10" s="31"/>
      <c r="O10" s="31"/>
      <c r="P10" s="31"/>
      <c r="Q10" s="31"/>
    </row>
    <row r="11" spans="1:18" s="14" customFormat="1" collapsed="1" x14ac:dyDescent="0.25">
      <c r="B11" s="14" t="s">
        <v>118</v>
      </c>
      <c r="C11" s="6"/>
      <c r="D11" s="173">
        <f t="shared" ref="D11:Q11" si="4">IF(D209=0,"",D239/D209)</f>
        <v>-7.6680771797153019E-2</v>
      </c>
      <c r="E11" s="173">
        <f t="shared" si="4"/>
        <v>-0.15242884832346823</v>
      </c>
      <c r="F11" s="173">
        <f t="shared" si="4"/>
        <v>-0.16104898409457635</v>
      </c>
      <c r="G11" s="173">
        <f t="shared" si="4"/>
        <v>-1.1074108284867618E-2</v>
      </c>
      <c r="H11" s="173">
        <f t="shared" si="4"/>
        <v>1.6808484112910391E-2</v>
      </c>
      <c r="I11" s="173">
        <f t="shared" si="4"/>
        <v>4.4781753598624966E-3</v>
      </c>
      <c r="J11" s="173">
        <f t="shared" si="4"/>
        <v>4.4781753598624966E-3</v>
      </c>
      <c r="K11" s="173">
        <f t="shared" si="4"/>
        <v>4.4781753598624966E-3</v>
      </c>
      <c r="L11" s="173">
        <f t="shared" si="4"/>
        <v>4.4781753598624966E-3</v>
      </c>
      <c r="M11" s="173">
        <f t="shared" si="4"/>
        <v>4.4781753598624966E-3</v>
      </c>
      <c r="N11" s="173">
        <f t="shared" si="4"/>
        <v>1.0824574420163449E-2</v>
      </c>
      <c r="O11" s="173">
        <f t="shared" si="4"/>
        <v>1.1086579454473243E-2</v>
      </c>
      <c r="P11" s="173">
        <f t="shared" si="4"/>
        <v>9.346995692135155E-3</v>
      </c>
      <c r="Q11" s="173">
        <f t="shared" si="4"/>
        <v>-1.151452867337774E-2</v>
      </c>
    </row>
    <row r="12" spans="1:18" s="14" customFormat="1" ht="14.45" hidden="1" customHeight="1" outlineLevel="1" collapsed="1" x14ac:dyDescent="0.25">
      <c r="B12" s="14" t="s">
        <v>544</v>
      </c>
      <c r="C12" s="6"/>
      <c r="D12" s="174">
        <f t="shared" ref="D12:Q12" si="5">IF(D210=0,"",D240/D210)</f>
        <v>-4.5552031605805378E-2</v>
      </c>
      <c r="E12" s="174">
        <f t="shared" si="5"/>
        <v>-0.14274739723157109</v>
      </c>
      <c r="F12" s="174">
        <f t="shared" si="5"/>
        <v>-7.0843672702701019E-2</v>
      </c>
      <c r="G12" s="174">
        <f t="shared" si="5"/>
        <v>2.7394216614516884E-2</v>
      </c>
      <c r="H12" s="174">
        <f t="shared" si="5"/>
        <v>5.2397972043688658E-2</v>
      </c>
      <c r="I12" s="174">
        <f t="shared" si="5"/>
        <v>4.4972980681425155E-2</v>
      </c>
      <c r="J12" s="174">
        <f t="shared" si="5"/>
        <v>4.4972980681425155E-2</v>
      </c>
      <c r="K12" s="174">
        <f t="shared" si="5"/>
        <v>4.4972980681425155E-2</v>
      </c>
      <c r="L12" s="174">
        <f t="shared" si="5"/>
        <v>4.4972980681425155E-2</v>
      </c>
      <c r="M12" s="174">
        <f t="shared" si="5"/>
        <v>4.4972980681425155E-2</v>
      </c>
      <c r="N12" s="174">
        <f t="shared" si="5"/>
        <v>4.967422131349037E-2</v>
      </c>
      <c r="O12" s="174">
        <f t="shared" si="5"/>
        <v>5.0476170277992047E-2</v>
      </c>
      <c r="P12" s="174">
        <f t="shared" si="5"/>
        <v>4.9650597778383022E-2</v>
      </c>
      <c r="Q12" s="174">
        <f t="shared" si="5"/>
        <v>4.3623462005123383E-2</v>
      </c>
    </row>
    <row r="13" spans="1:18" s="14" customFormat="1" ht="14.45" hidden="1" customHeight="1" outlineLevel="1" collapsed="1" x14ac:dyDescent="0.25">
      <c r="B13" s="14" t="s">
        <v>545</v>
      </c>
      <c r="C13" s="6"/>
      <c r="D13" s="174">
        <f t="shared" ref="D13:Q13" si="6">IF(D211=0,"",D241/D211)</f>
        <v>1.1845206386719586E-2</v>
      </c>
      <c r="E13" s="174">
        <f t="shared" si="6"/>
        <v>3.6989128923735647E-2</v>
      </c>
      <c r="F13" s="174">
        <f t="shared" si="6"/>
        <v>5.4678821809894224E-2</v>
      </c>
      <c r="G13" s="174">
        <f t="shared" si="6"/>
        <v>2.1695374710566435E-2</v>
      </c>
      <c r="H13" s="174">
        <f t="shared" si="6"/>
        <v>1.1455039387115649E-2</v>
      </c>
      <c r="I13" s="174">
        <f t="shared" si="6"/>
        <v>2.0299594020601611E-2</v>
      </c>
      <c r="J13" s="174">
        <f t="shared" si="6"/>
        <v>2.0299594020601611E-2</v>
      </c>
      <c r="K13" s="174">
        <f t="shared" si="6"/>
        <v>2.0299594020601611E-2</v>
      </c>
      <c r="L13" s="174">
        <f t="shared" si="6"/>
        <v>2.0299594020601611E-2</v>
      </c>
      <c r="M13" s="174">
        <f t="shared" si="6"/>
        <v>2.0299594020601611E-2</v>
      </c>
      <c r="N13" s="174">
        <f t="shared" si="6"/>
        <v>1.8962626838279952E-2</v>
      </c>
      <c r="O13" s="174">
        <f t="shared" si="6"/>
        <v>1.7423657908334205E-2</v>
      </c>
      <c r="P13" s="174">
        <f t="shared" si="6"/>
        <v>1.7423657908334205E-2</v>
      </c>
      <c r="Q13" s="174">
        <f t="shared" si="6"/>
        <v>1.7423657908334205E-2</v>
      </c>
    </row>
    <row r="14" spans="1:18" s="14" customFormat="1" ht="14.45" hidden="1" customHeight="1" outlineLevel="1" collapsed="1" x14ac:dyDescent="0.25">
      <c r="B14" s="14" t="s">
        <v>546</v>
      </c>
      <c r="C14" s="6"/>
      <c r="D14" s="174">
        <f t="shared" ref="D14:Q14" si="7">IF(D212=0,"",D242/D212)</f>
        <v>-48.306399068322975</v>
      </c>
      <c r="E14" s="174">
        <f t="shared" si="7"/>
        <v>-27.064795433789953</v>
      </c>
      <c r="F14" s="174">
        <f t="shared" si="7"/>
        <v>-35.958918253079503</v>
      </c>
      <c r="G14" s="174">
        <f t="shared" si="7"/>
        <v>-43.244636666666665</v>
      </c>
      <c r="H14" s="174">
        <f t="shared" si="7"/>
        <v>-95.853803748700287</v>
      </c>
      <c r="I14" s="174">
        <f t="shared" si="7"/>
        <v>-74.696927158345531</v>
      </c>
      <c r="J14" s="174">
        <f t="shared" si="7"/>
        <v>-74.696927158345531</v>
      </c>
      <c r="K14" s="174">
        <f t="shared" si="7"/>
        <v>-74.696927158345531</v>
      </c>
      <c r="L14" s="174">
        <f t="shared" si="7"/>
        <v>-74.696927158345531</v>
      </c>
      <c r="M14" s="174">
        <f t="shared" si="7"/>
        <v>-74.696927158345531</v>
      </c>
      <c r="N14" s="174">
        <f t="shared" si="7"/>
        <v>-71.568796969253242</v>
      </c>
      <c r="O14" s="174">
        <f t="shared" si="7"/>
        <v>-50.950124889906007</v>
      </c>
      <c r="P14" s="174">
        <f t="shared" si="7"/>
        <v>-50.950124889906007</v>
      </c>
      <c r="Q14" s="174">
        <f t="shared" si="7"/>
        <v>-50.950124889906007</v>
      </c>
    </row>
    <row r="15" spans="1:18" s="14" customFormat="1" ht="14.45" hidden="1" customHeight="1" outlineLevel="1" collapsed="1" x14ac:dyDescent="0.25">
      <c r="C15" s="6"/>
      <c r="H15" s="31"/>
      <c r="M15" s="31"/>
      <c r="N15" s="31"/>
      <c r="O15" s="31"/>
      <c r="P15" s="31"/>
      <c r="Q15" s="31"/>
    </row>
    <row r="16" spans="1:18" s="14" customFormat="1" collapsed="1" x14ac:dyDescent="0.25">
      <c r="B16" s="14" t="s">
        <v>119</v>
      </c>
      <c r="C16" s="6"/>
      <c r="D16" s="175"/>
      <c r="E16" s="173">
        <f t="shared" ref="E16:Q16" si="8">IF(D425=0,"",E269/D425)</f>
        <v>-0.43093050712443276</v>
      </c>
      <c r="F16" s="173">
        <f t="shared" si="8"/>
        <v>-0.25699937229914716</v>
      </c>
      <c r="G16" s="173">
        <f t="shared" si="8"/>
        <v>-0.15207298525759869</v>
      </c>
      <c r="H16" s="173">
        <f t="shared" si="8"/>
        <v>-9.4992269134471716E-2</v>
      </c>
      <c r="I16" s="173">
        <f t="shared" si="8"/>
        <v>-3.4064032669416294E-2</v>
      </c>
      <c r="J16" s="173">
        <f t="shared" si="8"/>
        <v>-3.5348015987208985E-2</v>
      </c>
      <c r="K16" s="173">
        <f t="shared" si="8"/>
        <v>-3.5350123930048785E-2</v>
      </c>
      <c r="L16" s="173">
        <f t="shared" si="8"/>
        <v>-3.5352232124313598E-2</v>
      </c>
      <c r="M16" s="173">
        <f t="shared" si="8"/>
        <v>-0.10974221002464986</v>
      </c>
      <c r="N16" s="173">
        <f t="shared" si="8"/>
        <v>-8.9290825396598369E-2</v>
      </c>
      <c r="O16" s="173">
        <f t="shared" si="8"/>
        <v>-8.7307956590378266E-2</v>
      </c>
      <c r="P16" s="173">
        <f t="shared" si="8"/>
        <v>-9.035100592518229E-2</v>
      </c>
      <c r="Q16" s="173">
        <f t="shared" si="8"/>
        <v>-0.13990859453224336</v>
      </c>
    </row>
    <row r="17" spans="1:34" s="14" customFormat="1" ht="14.45" hidden="1" customHeight="1" outlineLevel="1" collapsed="1" x14ac:dyDescent="0.25">
      <c r="B17" s="14" t="s">
        <v>544</v>
      </c>
      <c r="C17" s="6"/>
      <c r="D17" s="176"/>
      <c r="E17" s="174">
        <f t="shared" ref="E17:Q17" si="9">IF(D426=0,"",E270/D426)</f>
        <v>-0.23467161067232178</v>
      </c>
      <c r="F17" s="174">
        <f t="shared" si="9"/>
        <v>-0.20985616653491954</v>
      </c>
      <c r="G17" s="174">
        <f t="shared" si="9"/>
        <v>4.363668482032213E-3</v>
      </c>
      <c r="H17" s="174">
        <f t="shared" si="9"/>
        <v>8.0333642628014401E-2</v>
      </c>
      <c r="I17" s="174">
        <f t="shared" si="9"/>
        <v>1.7974540928555081E-2</v>
      </c>
      <c r="J17" s="174">
        <f t="shared" si="9"/>
        <v>1.8164521945370486E-2</v>
      </c>
      <c r="K17" s="174">
        <f t="shared" si="9"/>
        <v>1.7568145445024448E-2</v>
      </c>
      <c r="L17" s="174">
        <f t="shared" si="9"/>
        <v>1.7009684498796897E-2</v>
      </c>
      <c r="M17" s="174">
        <f t="shared" si="9"/>
        <v>6.9593847437691952E-2</v>
      </c>
      <c r="N17" s="174">
        <f t="shared" si="9"/>
        <v>7.8789185797065994E-2</v>
      </c>
      <c r="O17" s="174">
        <f t="shared" si="9"/>
        <v>7.2132734478924737E-2</v>
      </c>
      <c r="P17" s="174">
        <f t="shared" si="9"/>
        <v>5.9131218956318655E-2</v>
      </c>
      <c r="Q17" s="174">
        <f t="shared" si="9"/>
        <v>2.3037045624993299E-2</v>
      </c>
    </row>
    <row r="18" spans="1:34" s="14" customFormat="1" ht="14.45" hidden="1" customHeight="1" outlineLevel="1" collapsed="1" x14ac:dyDescent="0.25">
      <c r="B18" s="14" t="s">
        <v>545</v>
      </c>
      <c r="C18" s="6"/>
      <c r="D18" s="176"/>
      <c r="E18" s="174">
        <f t="shared" ref="E18:Q18" si="10">IF(D427=0,"",E271/D427)</f>
        <v>-0.71638829901100687</v>
      </c>
      <c r="F18" s="174">
        <f t="shared" si="10"/>
        <v>0.43181695848577445</v>
      </c>
      <c r="G18" s="174">
        <f t="shared" si="10"/>
        <v>-7.5474047702702399E-2</v>
      </c>
      <c r="H18" s="174">
        <f t="shared" si="10"/>
        <v>-0.13655726605786364</v>
      </c>
      <c r="I18" s="174">
        <f t="shared" si="10"/>
        <v>8.3496460309013792E-3</v>
      </c>
      <c r="J18" s="174">
        <f t="shared" si="10"/>
        <v>6.9679437257077464E-3</v>
      </c>
      <c r="K18" s="174">
        <f t="shared" si="10"/>
        <v>6.6422558331413455E-3</v>
      </c>
      <c r="L18" s="174">
        <f t="shared" si="10"/>
        <v>6.3456543021889814E-3</v>
      </c>
      <c r="M18" s="174">
        <f t="shared" si="10"/>
        <v>5.0398806514576955E-2</v>
      </c>
      <c r="N18" s="174">
        <f t="shared" si="10"/>
        <v>3.8243279410931801E-2</v>
      </c>
      <c r="O18" s="174">
        <f t="shared" si="10"/>
        <v>9.7493276398788464E-3</v>
      </c>
      <c r="P18" s="174">
        <f t="shared" si="10"/>
        <v>1.4907794606280897E-2</v>
      </c>
      <c r="Q18" s="174">
        <f t="shared" si="10"/>
        <v>1.3343504234969428E-2</v>
      </c>
    </row>
    <row r="19" spans="1:34" s="14" customFormat="1" ht="14.45" hidden="1" customHeight="1" outlineLevel="1" collapsed="1" x14ac:dyDescent="0.25">
      <c r="B19" s="14" t="s">
        <v>546</v>
      </c>
      <c r="C19" s="6"/>
      <c r="D19" s="176"/>
      <c r="E19" s="174">
        <f t="shared" ref="E19:Q19" si="11">IF(D428=0,"",E272/D428)</f>
        <v>-0.71081761785995967</v>
      </c>
      <c r="F19" s="174">
        <f t="shared" si="11"/>
        <v>-0.34333032647979289</v>
      </c>
      <c r="G19" s="174">
        <f t="shared" si="11"/>
        <v>-0.48556042442908715</v>
      </c>
      <c r="H19" s="174">
        <f t="shared" si="11"/>
        <v>-0.98833806442606376</v>
      </c>
      <c r="I19" s="174">
        <f t="shared" si="11"/>
        <v>-13.201845057883942</v>
      </c>
      <c r="J19" s="174">
        <f t="shared" si="11"/>
        <v>1.68226034085683</v>
      </c>
      <c r="K19" s="174">
        <f t="shared" si="11"/>
        <v>0.79074911142187854</v>
      </c>
      <c r="L19" s="174">
        <f t="shared" si="11"/>
        <v>0.51684690477873385</v>
      </c>
      <c r="M19" s="174">
        <f t="shared" si="11"/>
        <v>1.3476932879109138</v>
      </c>
      <c r="N19" s="174">
        <f t="shared" si="11"/>
        <v>0.64667924124428067</v>
      </c>
      <c r="O19" s="174">
        <f t="shared" si="11"/>
        <v>0.41506378859580689</v>
      </c>
      <c r="P19" s="174">
        <f t="shared" si="11"/>
        <v>0.29692499351555812</v>
      </c>
      <c r="Q19" s="174">
        <f t="shared" si="11"/>
        <v>0.23053389124869847</v>
      </c>
    </row>
    <row r="20" spans="1:34" s="14" customFormat="1" ht="14.45" hidden="1" customHeight="1" outlineLevel="1" collapsed="1" x14ac:dyDescent="0.25">
      <c r="C20" s="6"/>
      <c r="H20" s="31"/>
      <c r="M20" s="31"/>
      <c r="N20" s="31"/>
      <c r="O20" s="31"/>
      <c r="P20" s="31"/>
      <c r="Q20" s="31"/>
    </row>
    <row r="21" spans="1:34" s="14" customFormat="1" collapsed="1" x14ac:dyDescent="0.25">
      <c r="B21" s="14" t="s">
        <v>120</v>
      </c>
      <c r="C21" s="6"/>
      <c r="D21" s="175"/>
      <c r="E21" s="173">
        <f t="shared" ref="E21:Q21" si="12">IF((D346-D378-D281)=0,"",E274/(D346-D378-D281))</f>
        <v>-0.41303155104637335</v>
      </c>
      <c r="F21" s="173">
        <f t="shared" si="12"/>
        <v>-8.0673274206874951E-2</v>
      </c>
      <c r="G21" s="173">
        <f t="shared" si="12"/>
        <v>-1.5757002558533264E-2</v>
      </c>
      <c r="H21" s="173">
        <f t="shared" si="12"/>
        <v>2.8898420020543866E-2</v>
      </c>
      <c r="I21" s="173">
        <f t="shared" si="12"/>
        <v>-2.2459933046916052E-3</v>
      </c>
      <c r="J21" s="173">
        <f t="shared" si="12"/>
        <v>-2.3015235208752034E-3</v>
      </c>
      <c r="K21" s="173">
        <f t="shared" si="12"/>
        <v>-2.3015235208752043E-3</v>
      </c>
      <c r="L21" s="173">
        <f t="shared" si="12"/>
        <v>-2.3015235208752043E-3</v>
      </c>
      <c r="M21" s="173">
        <f t="shared" si="12"/>
        <v>9.28757696988693E-3</v>
      </c>
      <c r="N21" s="173">
        <f t="shared" si="12"/>
        <v>2.4638497452425065E-2</v>
      </c>
      <c r="O21" s="173">
        <f t="shared" si="12"/>
        <v>2.6780132121601487E-2</v>
      </c>
      <c r="P21" s="173">
        <f t="shared" si="12"/>
        <v>2.0658177669129373E-2</v>
      </c>
      <c r="Q21" s="173">
        <f t="shared" si="12"/>
        <v>-2.5378174380344787E-2</v>
      </c>
    </row>
    <row r="22" spans="1:34" s="14" customFormat="1" ht="14.45" hidden="1" customHeight="1" outlineLevel="1" collapsed="1" x14ac:dyDescent="0.25">
      <c r="B22" s="14" t="s">
        <v>544</v>
      </c>
      <c r="C22" s="6"/>
      <c r="D22" s="176"/>
      <c r="E22" s="174">
        <f t="shared" ref="E22:Q22" si="13">IF((D347-D379-D282)=0,"",E275/(D347-D379-D282))</f>
        <v>-0.27942523527029084</v>
      </c>
      <c r="F22" s="174">
        <f t="shared" si="13"/>
        <v>-0.18096725678114492</v>
      </c>
      <c r="G22" s="174">
        <f t="shared" si="13"/>
        <v>3.0040480893108318E-2</v>
      </c>
      <c r="H22" s="174">
        <f t="shared" si="13"/>
        <v>0.11748609041486836</v>
      </c>
      <c r="I22" s="174">
        <f t="shared" si="13"/>
        <v>2.5720670038007012E-2</v>
      </c>
      <c r="J22" s="174">
        <f t="shared" si="13"/>
        <v>2.6802014606633926E-2</v>
      </c>
      <c r="K22" s="174">
        <f t="shared" si="13"/>
        <v>2.6802014606633933E-2</v>
      </c>
      <c r="L22" s="174">
        <f t="shared" si="13"/>
        <v>2.6802014606633926E-2</v>
      </c>
      <c r="M22" s="174">
        <f t="shared" si="13"/>
        <v>0.10422374294618453</v>
      </c>
      <c r="N22" s="174">
        <f t="shared" si="13"/>
        <v>0.11699530440176205</v>
      </c>
      <c r="O22" s="174">
        <f t="shared" si="13"/>
        <v>0.125703475370395</v>
      </c>
      <c r="P22" s="174">
        <f t="shared" si="13"/>
        <v>0.11513024311675243</v>
      </c>
      <c r="Q22" s="174">
        <f t="shared" si="13"/>
        <v>5.7700201284138636E-2</v>
      </c>
    </row>
    <row r="23" spans="1:34" s="14" customFormat="1" ht="14.45" hidden="1" customHeight="1" outlineLevel="1" collapsed="1" x14ac:dyDescent="0.25">
      <c r="B23" s="14" t="s">
        <v>545</v>
      </c>
      <c r="C23" s="6"/>
      <c r="D23" s="176"/>
      <c r="E23" s="174">
        <f t="shared" ref="E23:Q23" si="14">IF((D348-D380-D283)=0,"",E276/(D348-D380-D283))</f>
        <v>-3.4041905642879837</v>
      </c>
      <c r="F23" s="174">
        <f t="shared" si="14"/>
        <v>-0.54528259176658977</v>
      </c>
      <c r="G23" s="174">
        <f t="shared" si="14"/>
        <v>2.032603998107162E-2</v>
      </c>
      <c r="H23" s="174">
        <f t="shared" si="14"/>
        <v>-7.045148890859064</v>
      </c>
      <c r="I23" s="174">
        <f t="shared" si="14"/>
        <v>-3.730925065460379E-2</v>
      </c>
      <c r="J23" s="174">
        <f t="shared" si="14"/>
        <v>-4.8265650254237312E-2</v>
      </c>
      <c r="K23" s="174">
        <f t="shared" si="14"/>
        <v>-4.8265650254237333E-2</v>
      </c>
      <c r="L23" s="174">
        <f t="shared" si="14"/>
        <v>-4.8265650254237354E-2</v>
      </c>
      <c r="M23" s="174">
        <f t="shared" si="14"/>
        <v>-0.1764881206467242</v>
      </c>
      <c r="N23" s="174">
        <f t="shared" si="14"/>
        <v>0.53768437563788496</v>
      </c>
      <c r="O23" s="174">
        <f t="shared" si="14"/>
        <v>-0.40248710687596839</v>
      </c>
      <c r="P23" s="174">
        <f t="shared" si="14"/>
        <v>-0.29906562312122398</v>
      </c>
      <c r="Q23" s="174">
        <f t="shared" si="14"/>
        <v>-0.21078416721537499</v>
      </c>
    </row>
    <row r="24" spans="1:34" s="14" customFormat="1" ht="14.45" hidden="1" customHeight="1" outlineLevel="1" collapsed="1" x14ac:dyDescent="0.25">
      <c r="B24" s="14" t="s">
        <v>546</v>
      </c>
      <c r="C24" s="6"/>
      <c r="D24" s="176"/>
      <c r="E24" s="174">
        <f t="shared" ref="E24:Q24" si="15">IF((D349-D381-D284)=0,"",E277/(D349-D381-D284))</f>
        <v>-0.71709032328040012</v>
      </c>
      <c r="F24" s="174">
        <f t="shared" si="15"/>
        <v>4.6424580932936263E-2</v>
      </c>
      <c r="G24" s="174">
        <f t="shared" si="15"/>
        <v>-7.8564854567667708E-2</v>
      </c>
      <c r="H24" s="174">
        <f t="shared" si="15"/>
        <v>-0.12524440250127183</v>
      </c>
      <c r="I24" s="174">
        <f t="shared" si="15"/>
        <v>-6.9641567840853125E-2</v>
      </c>
      <c r="J24" s="174">
        <f t="shared" si="15"/>
        <v>-6.9641567840853152E-2</v>
      </c>
      <c r="K24" s="174">
        <f t="shared" si="15"/>
        <v>-6.964156784085318E-2</v>
      </c>
      <c r="L24" s="174">
        <f t="shared" si="15"/>
        <v>-6.9641567840853152E-2</v>
      </c>
      <c r="M24" s="174">
        <f t="shared" si="15"/>
        <v>-0.2122328950822798</v>
      </c>
      <c r="N24" s="174">
        <f t="shared" si="15"/>
        <v>-0.24621043342349339</v>
      </c>
      <c r="O24" s="174">
        <f t="shared" si="15"/>
        <v>-0.27073559413170323</v>
      </c>
      <c r="P24" s="174">
        <f t="shared" si="15"/>
        <v>-0.28621864515686618</v>
      </c>
      <c r="Q24" s="174">
        <f t="shared" si="15"/>
        <v>-0.28621864515686629</v>
      </c>
    </row>
    <row r="25" spans="1:34" s="14" customFormat="1" ht="14.45" hidden="1" customHeight="1" outlineLevel="1" collapsed="1" x14ac:dyDescent="0.25">
      <c r="C25" s="6"/>
      <c r="H25" s="31"/>
      <c r="M25" s="31"/>
      <c r="N25" s="31"/>
      <c r="O25" s="31"/>
      <c r="P25" s="31"/>
      <c r="Q25" s="31"/>
    </row>
    <row r="26" spans="1:34" s="14" customFormat="1" collapsed="1" x14ac:dyDescent="0.25">
      <c r="B26" s="14" t="s">
        <v>121</v>
      </c>
      <c r="C26" s="6"/>
      <c r="D26" s="175"/>
      <c r="E26" s="173">
        <f t="shared" ref="E26:Q26" si="16">IF((D346-D378-D281)=0,"",(E274+E244)/(D346-D378-D281))</f>
        <v>-0.35281407030069734</v>
      </c>
      <c r="F26" s="173">
        <f t="shared" si="16"/>
        <v>-1.271619495386719E-2</v>
      </c>
      <c r="G26" s="173">
        <f t="shared" si="16"/>
        <v>4.3884702687287551E-2</v>
      </c>
      <c r="H26" s="173">
        <f t="shared" si="16"/>
        <v>8.6685605714804242E-2</v>
      </c>
      <c r="I26" s="173">
        <f t="shared" si="16"/>
        <v>2.1141541346487581E-2</v>
      </c>
      <c r="J26" s="173">
        <f t="shared" si="16"/>
        <v>2.1664247428902255E-2</v>
      </c>
      <c r="K26" s="173">
        <f t="shared" si="16"/>
        <v>2.1664247428902259E-2</v>
      </c>
      <c r="L26" s="173">
        <f t="shared" si="16"/>
        <v>2.1664247428902259E-2</v>
      </c>
      <c r="M26" s="173">
        <f t="shared" si="16"/>
        <v>7.0387124885803093E-2</v>
      </c>
      <c r="N26" s="173">
        <f t="shared" si="16"/>
        <v>7.8482304350394522E-2</v>
      </c>
      <c r="O26" s="173">
        <f t="shared" si="16"/>
        <v>8.2201969200463798E-2</v>
      </c>
      <c r="P26" s="173">
        <f t="shared" si="16"/>
        <v>7.59350780045185E-2</v>
      </c>
      <c r="Q26" s="173">
        <f t="shared" si="16"/>
        <v>3.140253059940569E-2</v>
      </c>
    </row>
    <row r="27" spans="1:34" s="14" customFormat="1" ht="14.45" hidden="1" customHeight="1" outlineLevel="1" collapsed="1" x14ac:dyDescent="0.25">
      <c r="B27" s="14" t="s">
        <v>544</v>
      </c>
      <c r="C27" s="6"/>
      <c r="D27" s="176"/>
      <c r="E27" s="174">
        <f t="shared" ref="E27:Q27" si="17">IF((D347-D379-D282)=0,"",(E275+E245)/(D347-D379-D282))</f>
        <v>-0.21091798752316107</v>
      </c>
      <c r="F27" s="174">
        <f t="shared" si="17"/>
        <v>-0.10557514020452903</v>
      </c>
      <c r="G27" s="174">
        <f t="shared" si="17"/>
        <v>9.5358452063971214E-2</v>
      </c>
      <c r="H27" s="174">
        <f t="shared" si="17"/>
        <v>0.17547258459688445</v>
      </c>
      <c r="I27" s="174">
        <f t="shared" si="17"/>
        <v>3.9764643566669332E-2</v>
      </c>
      <c r="J27" s="174">
        <f t="shared" si="17"/>
        <v>4.1436422773068839E-2</v>
      </c>
      <c r="K27" s="174">
        <f t="shared" si="17"/>
        <v>4.1436422773068853E-2</v>
      </c>
      <c r="L27" s="174">
        <f t="shared" si="17"/>
        <v>4.1436422773068839E-2</v>
      </c>
      <c r="M27" s="174">
        <f t="shared" si="17"/>
        <v>0.16276137561192416</v>
      </c>
      <c r="N27" s="174">
        <f t="shared" si="17"/>
        <v>0.16775653595677523</v>
      </c>
      <c r="O27" s="174">
        <f t="shared" si="17"/>
        <v>0.17832949346031546</v>
      </c>
      <c r="P27" s="174">
        <f t="shared" si="17"/>
        <v>0.16659997205541358</v>
      </c>
      <c r="Q27" s="174">
        <f t="shared" si="17"/>
        <v>0.11092896324547587</v>
      </c>
    </row>
    <row r="28" spans="1:34" s="14" customFormat="1" ht="14.45" hidden="1" customHeight="1" outlineLevel="1" collapsed="1" x14ac:dyDescent="0.25">
      <c r="B28" s="14" t="s">
        <v>545</v>
      </c>
      <c r="C28" s="6"/>
      <c r="D28" s="176"/>
      <c r="E28" s="174">
        <f t="shared" ref="E28:Q28" si="18">IF((D348-D380-D283)=0,"",(E276+E246)/(D348-D380-D283))</f>
        <v>-4.5073043509180959</v>
      </c>
      <c r="F28" s="174">
        <f t="shared" si="18"/>
        <v>-0.91484083777540048</v>
      </c>
      <c r="G28" s="174">
        <f t="shared" si="18"/>
        <v>-0.23640941690136077</v>
      </c>
      <c r="H28" s="174">
        <f t="shared" si="18"/>
        <v>8.2064412710155104</v>
      </c>
      <c r="I28" s="174">
        <f t="shared" si="18"/>
        <v>-0.13731013591603894</v>
      </c>
      <c r="J28" s="174">
        <f t="shared" si="18"/>
        <v>-0.17763323787548488</v>
      </c>
      <c r="K28" s="174">
        <f t="shared" si="18"/>
        <v>-0.17763323787548496</v>
      </c>
      <c r="L28" s="174">
        <f t="shared" si="18"/>
        <v>-0.17763323787548504</v>
      </c>
      <c r="M28" s="174">
        <f t="shared" si="18"/>
        <v>-0.69395847113171427</v>
      </c>
      <c r="N28" s="174">
        <f t="shared" si="18"/>
        <v>2.3694243002462354</v>
      </c>
      <c r="O28" s="174">
        <f t="shared" si="18"/>
        <v>-3.9716085372764351</v>
      </c>
      <c r="P28" s="174">
        <f t="shared" si="18"/>
        <v>-3.1947738182249208</v>
      </c>
      <c r="Q28" s="174">
        <f t="shared" si="18"/>
        <v>-2.2517056012253973</v>
      </c>
    </row>
    <row r="29" spans="1:34" s="14" customFormat="1" ht="14.45" hidden="1" customHeight="1" outlineLevel="1" collapsed="1" x14ac:dyDescent="0.25">
      <c r="B29" s="14" t="s">
        <v>546</v>
      </c>
      <c r="C29" s="6"/>
      <c r="D29" s="176"/>
      <c r="E29" s="174">
        <f t="shared" ref="E29:Q29" si="19">IF((D349-D381-D284)=0,"",(E277+E247)/(D349-D381-D284))</f>
        <v>-0.69739114567715399</v>
      </c>
      <c r="F29" s="174">
        <f t="shared" si="19"/>
        <v>7.3250360872335718E-2</v>
      </c>
      <c r="G29" s="174">
        <f t="shared" si="19"/>
        <v>-4.8736909865030806E-2</v>
      </c>
      <c r="H29" s="174">
        <f t="shared" si="19"/>
        <v>-8.9722056689259241E-2</v>
      </c>
      <c r="I29" s="174">
        <f t="shared" si="19"/>
        <v>-3.278969212911273E-2</v>
      </c>
      <c r="J29" s="174">
        <f t="shared" si="19"/>
        <v>-3.2789692129112744E-2</v>
      </c>
      <c r="K29" s="174">
        <f t="shared" si="19"/>
        <v>-3.2789692129112757E-2</v>
      </c>
      <c r="L29" s="174">
        <f t="shared" si="19"/>
        <v>-3.2789692129112744E-2</v>
      </c>
      <c r="M29" s="174">
        <f t="shared" si="19"/>
        <v>-0.1753810193705394</v>
      </c>
      <c r="N29" s="174">
        <f t="shared" si="19"/>
        <v>-0.2109608870530775</v>
      </c>
      <c r="O29" s="174">
        <f t="shared" si="19"/>
        <v>-0.24099577694798574</v>
      </c>
      <c r="P29" s="174">
        <f t="shared" si="19"/>
        <v>-0.2547780427165543</v>
      </c>
      <c r="Q29" s="174">
        <f t="shared" si="19"/>
        <v>-0.25477804271655446</v>
      </c>
    </row>
    <row r="30" spans="1:34" s="14" customFormat="1" ht="14.45" hidden="1" customHeight="1" outlineLevel="1" collapsed="1" x14ac:dyDescent="0.25">
      <c r="C30" s="6"/>
      <c r="H30" s="31"/>
      <c r="M30" s="31"/>
      <c r="N30" s="31"/>
      <c r="O30" s="31"/>
      <c r="P30" s="31"/>
      <c r="Q30" s="31"/>
    </row>
    <row r="31" spans="1:34" s="14" customFormat="1" collapsed="1" x14ac:dyDescent="0.25">
      <c r="A31" s="29" t="s">
        <v>122</v>
      </c>
      <c r="C31" s="6"/>
      <c r="H31" s="31"/>
      <c r="M31" s="31"/>
      <c r="N31" s="31"/>
      <c r="O31" s="31"/>
      <c r="P31" s="31"/>
      <c r="Q31" s="31"/>
    </row>
    <row r="32" spans="1:34" s="14" customFormat="1" collapsed="1" x14ac:dyDescent="0.25">
      <c r="B32" s="14" t="s">
        <v>123</v>
      </c>
      <c r="C32" s="6"/>
      <c r="D32" s="183">
        <f t="shared" ref="D32:Q32" si="20">IF(D346=0,"",D209/D346)</f>
        <v>0.70926540660976323</v>
      </c>
      <c r="E32" s="183">
        <f t="shared" si="20"/>
        <v>0.52266834542481888</v>
      </c>
      <c r="F32" s="183">
        <f t="shared" si="20"/>
        <v>0.37003756450300579</v>
      </c>
      <c r="G32" s="183">
        <f t="shared" si="20"/>
        <v>0.91003742077871541</v>
      </c>
      <c r="H32" s="183">
        <f t="shared" si="20"/>
        <v>1.4140377741940191</v>
      </c>
      <c r="I32" s="183">
        <f t="shared" si="20"/>
        <v>0.36178463707187769</v>
      </c>
      <c r="J32" s="183">
        <f t="shared" si="20"/>
        <v>0.36179058296800432</v>
      </c>
      <c r="K32" s="183">
        <f t="shared" si="20"/>
        <v>0.36179652905957455</v>
      </c>
      <c r="L32" s="183">
        <f t="shared" si="20"/>
        <v>0.3618024753465981</v>
      </c>
      <c r="M32" s="183">
        <f t="shared" si="20"/>
        <v>1.5381438573079718</v>
      </c>
      <c r="N32" s="183">
        <f t="shared" si="20"/>
        <v>1.665009262976074</v>
      </c>
      <c r="O32" s="183">
        <f t="shared" si="20"/>
        <v>1.6794644153325688</v>
      </c>
      <c r="P32" s="183">
        <f t="shared" si="20"/>
        <v>1.6363287917748146</v>
      </c>
      <c r="Q32" s="183">
        <f t="shared" si="20"/>
        <v>1.20615196448534</v>
      </c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</row>
    <row r="33" spans="2:34" s="14" customFormat="1" ht="14.45" hidden="1" customHeight="1" outlineLevel="1" collapsed="1" x14ac:dyDescent="0.25">
      <c r="B33" s="14" t="s">
        <v>544</v>
      </c>
      <c r="C33" s="6"/>
      <c r="D33" s="184">
        <f t="shared" ref="D33:Q33" si="21">IF(D347=0,"",D210/D347)</f>
        <v>1.4390006240201643</v>
      </c>
      <c r="E33" s="184">
        <f t="shared" si="21"/>
        <v>1.225404618404053</v>
      </c>
      <c r="F33" s="184">
        <f t="shared" si="21"/>
        <v>0.92140789575800652</v>
      </c>
      <c r="G33" s="184">
        <f t="shared" si="21"/>
        <v>1.9425821650757322</v>
      </c>
      <c r="H33" s="184">
        <f t="shared" si="21"/>
        <v>2.5194474865331835</v>
      </c>
      <c r="I33" s="184">
        <f t="shared" si="21"/>
        <v>0.63987496453149739</v>
      </c>
      <c r="J33" s="184">
        <f t="shared" si="21"/>
        <v>0.62803309480640501</v>
      </c>
      <c r="K33" s="184">
        <f t="shared" si="21"/>
        <v>0.61662156498114329</v>
      </c>
      <c r="L33" s="184">
        <f t="shared" si="21"/>
        <v>0.60561733551602737</v>
      </c>
      <c r="M33" s="184">
        <f t="shared" si="21"/>
        <v>2.1153863176668479</v>
      </c>
      <c r="N33" s="184">
        <f t="shared" si="21"/>
        <v>2.1268558543118612</v>
      </c>
      <c r="O33" s="184">
        <f t="shared" si="21"/>
        <v>2.0045572517989232</v>
      </c>
      <c r="P33" s="184">
        <f t="shared" si="21"/>
        <v>1.8228569169786006</v>
      </c>
      <c r="Q33" s="184">
        <f t="shared" si="21"/>
        <v>1.196327781203427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</row>
    <row r="34" spans="2:34" s="14" customFormat="1" ht="14.45" hidden="1" customHeight="1" outlineLevel="1" collapsed="1" x14ac:dyDescent="0.25">
      <c r="B34" s="14" t="s">
        <v>545</v>
      </c>
      <c r="C34" s="6"/>
      <c r="D34" s="184">
        <f t="shared" ref="D34:Q34" si="22">IF(D348=0,"",D211/D348)</f>
        <v>3.9397473740085776</v>
      </c>
      <c r="E34" s="184">
        <f t="shared" si="22"/>
        <v>4.4591781256213778</v>
      </c>
      <c r="F34" s="184">
        <f t="shared" si="22"/>
        <v>2.5771363587323042</v>
      </c>
      <c r="G34" s="184">
        <f t="shared" si="22"/>
        <v>3.3661493437964118</v>
      </c>
      <c r="H34" s="184">
        <f t="shared" si="22"/>
        <v>3.5439034940587311</v>
      </c>
      <c r="I34" s="184">
        <f t="shared" si="22"/>
        <v>0.96820839417425164</v>
      </c>
      <c r="J34" s="184">
        <f t="shared" si="22"/>
        <v>0.95541455816167997</v>
      </c>
      <c r="K34" s="184">
        <f t="shared" si="22"/>
        <v>0.94295442626288073</v>
      </c>
      <c r="L34" s="184">
        <f t="shared" si="22"/>
        <v>0.93081511045428389</v>
      </c>
      <c r="M34" s="184">
        <f t="shared" si="22"/>
        <v>3.3818527363487738</v>
      </c>
      <c r="N34" s="184">
        <f t="shared" si="22"/>
        <v>3.2577386081493209</v>
      </c>
      <c r="O34" s="184">
        <f t="shared" si="22"/>
        <v>3.1511716283374205</v>
      </c>
      <c r="P34" s="184">
        <f t="shared" si="22"/>
        <v>3.010701813156234</v>
      </c>
      <c r="Q34" s="184">
        <f t="shared" si="22"/>
        <v>2.9206462494816088</v>
      </c>
    </row>
    <row r="35" spans="2:34" s="14" customFormat="1" ht="14.45" hidden="1" customHeight="1" outlineLevel="1" collapsed="1" x14ac:dyDescent="0.25">
      <c r="B35" s="14" t="s">
        <v>546</v>
      </c>
      <c r="C35" s="6"/>
      <c r="D35" s="184">
        <f t="shared" ref="D35:Q35" si="23">IF(D349=0,"",D212/D349)</f>
        <v>1.2146275330524388E-3</v>
      </c>
      <c r="E35" s="184">
        <f t="shared" si="23"/>
        <v>2.2057099085498774E-3</v>
      </c>
      <c r="F35" s="184">
        <f t="shared" si="23"/>
        <v>1.9839059153880525E-3</v>
      </c>
      <c r="G35" s="184">
        <f t="shared" si="23"/>
        <v>1.4236497155811242E-3</v>
      </c>
      <c r="H35" s="184">
        <f t="shared" si="23"/>
        <v>9.7783251278546197E-4</v>
      </c>
      <c r="I35" s="184">
        <f t="shared" si="23"/>
        <v>3.886322817537342E-4</v>
      </c>
      <c r="J35" s="184">
        <f t="shared" si="23"/>
        <v>3.9713665446211062E-4</v>
      </c>
      <c r="K35" s="184">
        <f t="shared" si="23"/>
        <v>4.060215535851068E-4</v>
      </c>
      <c r="L35" s="184">
        <f t="shared" si="23"/>
        <v>4.1531310345128817E-4</v>
      </c>
      <c r="M35" s="184">
        <f t="shared" si="23"/>
        <v>2.4510788887781845E-3</v>
      </c>
      <c r="N35" s="184">
        <f t="shared" si="23"/>
        <v>3.2366851380038397E-3</v>
      </c>
      <c r="O35" s="184">
        <f t="shared" si="23"/>
        <v>5.7993064397343893E-3</v>
      </c>
      <c r="P35" s="184">
        <f t="shared" si="23"/>
        <v>7.8566161274172906E-3</v>
      </c>
      <c r="Q35" s="184">
        <f t="shared" si="23"/>
        <v>1.2176066785351318E-2</v>
      </c>
    </row>
    <row r="36" spans="2:34" s="14" customFormat="1" ht="14.45" hidden="1" customHeight="1" outlineLevel="1" collapsed="1" x14ac:dyDescent="0.25">
      <c r="C36" s="6"/>
      <c r="H36" s="31"/>
      <c r="M36" s="31"/>
      <c r="N36" s="31"/>
      <c r="O36" s="31"/>
      <c r="P36" s="31"/>
      <c r="Q36" s="31"/>
    </row>
    <row r="37" spans="2:34" s="14" customFormat="1" collapsed="1" x14ac:dyDescent="0.25">
      <c r="B37" s="14" t="s">
        <v>518</v>
      </c>
      <c r="C37" s="6"/>
      <c r="D37" s="183">
        <f>'P&amp;L'!D10/BalSheet!D20</f>
        <v>6.1615281721227655</v>
      </c>
      <c r="E37" s="183">
        <f>'P&amp;L'!E10/BalSheet!E20</f>
        <v>9.4087128606396586</v>
      </c>
      <c r="F37" s="183">
        <f>'P&amp;L'!F10/BalSheet!F20</f>
        <v>5.3711698235498231</v>
      </c>
      <c r="G37" s="183">
        <f>'P&amp;L'!G10/BalSheet!G20</f>
        <v>5.6722348818920709</v>
      </c>
      <c r="H37" s="183">
        <f>'P&amp;L'!H10/BalSheet!H20</f>
        <v>7.704365230459465</v>
      </c>
      <c r="I37" s="183">
        <f>'P&amp;L'!I10/BalSheet!I20</f>
        <v>2.1479709364495267</v>
      </c>
      <c r="J37" s="183">
        <f>'P&amp;L'!J10/BalSheet!J20</f>
        <v>2.1479709364495267</v>
      </c>
      <c r="K37" s="183">
        <f>'P&amp;L'!K10/BalSheet!K20</f>
        <v>2.1479709364495267</v>
      </c>
      <c r="L37" s="183">
        <f>'P&amp;L'!L10/BalSheet!L20</f>
        <v>2.1479709364495267</v>
      </c>
      <c r="M37" s="183">
        <f>'P&amp;L'!M10/BalSheet!M20</f>
        <v>6.4823748721355088</v>
      </c>
      <c r="N37" s="183">
        <f>'P&amp;L'!N10/BalSheet!N20</f>
        <v>6.9834519720632988</v>
      </c>
      <c r="O37" s="183">
        <f>'P&amp;L'!O10/BalSheet!O20</f>
        <v>6.9844249396645512</v>
      </c>
      <c r="P37" s="183">
        <f>'P&amp;L'!P10/BalSheet!P20</f>
        <v>7.1061825060481603</v>
      </c>
      <c r="Q37" s="183">
        <f>'P&amp;L'!Q10/BalSheet!Q20</f>
        <v>5.2654234726010749</v>
      </c>
    </row>
    <row r="38" spans="2:34" s="14" customFormat="1" ht="14.45" hidden="1" customHeight="1" outlineLevel="1" collapsed="1" x14ac:dyDescent="0.25">
      <c r="B38" s="14" t="s">
        <v>544</v>
      </c>
      <c r="C38" s="6"/>
      <c r="D38" s="184">
        <f>Biz1bs!D46</f>
        <v>6.1655635950295178</v>
      </c>
      <c r="E38" s="184">
        <f>Biz1bs!E46</f>
        <v>9.4193664090068889</v>
      </c>
      <c r="F38" s="184">
        <f>Biz1bs!F46</f>
        <v>5.3813642755544064</v>
      </c>
      <c r="G38" s="184">
        <f>Biz1bs!G46</f>
        <v>5.6765748046744919</v>
      </c>
      <c r="H38" s="184">
        <f>Biz1bs!H46</f>
        <v>7.7067388874596503</v>
      </c>
      <c r="I38" s="184">
        <f>Biz1bs!I46</f>
        <v>2.1532869894829094</v>
      </c>
      <c r="J38" s="184">
        <f>Biz1bs!J46</f>
        <v>2.1532869894829094</v>
      </c>
      <c r="K38" s="184">
        <f>Biz1bs!K46</f>
        <v>2.1532869894829094</v>
      </c>
      <c r="L38" s="184">
        <f>Biz1bs!L46</f>
        <v>2.1532869894829094</v>
      </c>
      <c r="M38" s="184">
        <f>Biz1bs!M46</f>
        <v>6.4823748721355088</v>
      </c>
      <c r="N38" s="184">
        <f>Biz1bs!N46</f>
        <v>6.9834519720632979</v>
      </c>
      <c r="O38" s="184">
        <f>Biz1bs!O46</f>
        <v>6.9844249396645512</v>
      </c>
      <c r="P38" s="184">
        <f>Biz1bs!P46</f>
        <v>7.124113438457842</v>
      </c>
      <c r="Q38" s="184">
        <f>Biz1bs!Q46</f>
        <v>5.0017146200011675</v>
      </c>
    </row>
    <row r="39" spans="2:34" s="14" customFormat="1" ht="14.45" hidden="1" customHeight="1" outlineLevel="1" collapsed="1" x14ac:dyDescent="0.25">
      <c r="B39" s="14" t="s">
        <v>545</v>
      </c>
      <c r="C39" s="6"/>
      <c r="D39" s="184">
        <f>Biz2bs!D46</f>
        <v>6.1655635950295178</v>
      </c>
      <c r="E39" s="184">
        <f>Biz2bs!E46</f>
        <v>9.4193664090068889</v>
      </c>
      <c r="F39" s="184">
        <f>Biz2bs!F46</f>
        <v>5.3813642755544064</v>
      </c>
      <c r="G39" s="184">
        <f>Biz2bs!G46</f>
        <v>5.6765748046744919</v>
      </c>
      <c r="H39" s="184">
        <f>Biz2bs!H46</f>
        <v>7.7067388874596494</v>
      </c>
      <c r="I39" s="184">
        <f>Biz2bs!I46</f>
        <v>2.1153114184777566</v>
      </c>
      <c r="J39" s="184">
        <f>Biz2bs!J46</f>
        <v>2.1153114184777566</v>
      </c>
      <c r="K39" s="184">
        <f>Biz2bs!K46</f>
        <v>2.1153114184777566</v>
      </c>
      <c r="L39" s="184">
        <f>Biz2bs!L46</f>
        <v>2.1153114184777566</v>
      </c>
      <c r="M39" s="184">
        <f>Biz2bs!M46</f>
        <v>6.4823748721355097</v>
      </c>
      <c r="N39" s="184">
        <f>Biz2bs!N46</f>
        <v>6.9834519720632979</v>
      </c>
      <c r="O39" s="184">
        <f>Biz2bs!O46</f>
        <v>6.9844249396645512</v>
      </c>
      <c r="P39" s="184">
        <f>Biz2bs!P46</f>
        <v>6.9844249396645512</v>
      </c>
      <c r="Q39" s="184">
        <f>Biz2bs!Q46</f>
        <v>6.9844249396645512</v>
      </c>
    </row>
    <row r="40" spans="2:34" s="14" customFormat="1" ht="14.45" hidden="1" customHeight="1" outlineLevel="1" collapsed="1" x14ac:dyDescent="0.25">
      <c r="B40" s="14" t="s">
        <v>546</v>
      </c>
      <c r="C40" s="6"/>
      <c r="D40" s="184">
        <f>CORPbs!D46</f>
        <v>0</v>
      </c>
      <c r="E40" s="184">
        <f>CORPbs!E46</f>
        <v>0</v>
      </c>
      <c r="F40" s="184">
        <f>CORPbs!F46</f>
        <v>0</v>
      </c>
      <c r="G40" s="184">
        <f>CORPbs!G46</f>
        <v>0</v>
      </c>
      <c r="H40" s="184">
        <f>CORPbs!H46</f>
        <v>0</v>
      </c>
      <c r="I40" s="184">
        <f>CORPbs!I46</f>
        <v>0</v>
      </c>
      <c r="J40" s="184">
        <f>CORPbs!J46</f>
        <v>0</v>
      </c>
      <c r="K40" s="184">
        <f>CORPbs!K46</f>
        <v>0</v>
      </c>
      <c r="L40" s="184">
        <f>CORPbs!L46</f>
        <v>0</v>
      </c>
      <c r="M40" s="184">
        <f>CORPbs!M46</f>
        <v>0</v>
      </c>
      <c r="N40" s="184">
        <f>CORPbs!N46</f>
        <v>0</v>
      </c>
      <c r="O40" s="184">
        <f>CORPbs!O46</f>
        <v>0</v>
      </c>
      <c r="P40" s="184">
        <f>CORPbs!P46</f>
        <v>0</v>
      </c>
      <c r="Q40" s="184">
        <f>CORPbs!Q46</f>
        <v>0</v>
      </c>
    </row>
    <row r="41" spans="2:34" s="14" customFormat="1" ht="14.45" hidden="1" customHeight="1" outlineLevel="1" collapsed="1" x14ac:dyDescent="0.25">
      <c r="C41" s="6"/>
      <c r="H41" s="31"/>
      <c r="M41" s="31"/>
      <c r="N41" s="31"/>
      <c r="O41" s="31"/>
      <c r="P41" s="31"/>
      <c r="Q41" s="31"/>
    </row>
    <row r="42" spans="2:34" s="14" customFormat="1" collapsed="1" x14ac:dyDescent="0.25">
      <c r="B42" s="14" t="s">
        <v>517</v>
      </c>
      <c r="C42" s="6"/>
      <c r="D42" s="185">
        <f>BalSheet!D15/'P&amp;L'!D5*365</f>
        <v>36.482183024680012</v>
      </c>
      <c r="E42" s="185">
        <f>BalSheet!E15/'P&amp;L'!E5*365</f>
        <v>27.611315988677923</v>
      </c>
      <c r="F42" s="185">
        <f>BalSheet!F15/'P&amp;L'!F5*365</f>
        <v>28.113410453851195</v>
      </c>
      <c r="G42" s="185">
        <f>BalSheet!G15/'P&amp;L'!G5*365</f>
        <v>23.425120111189582</v>
      </c>
      <c r="H42" s="185">
        <f>BalSheet!H15/'P&amp;L'!H5*365</f>
        <v>20.962335591435373</v>
      </c>
      <c r="I42" s="185">
        <f>BalSheet!I15/'P&amp;L'!I5*365</f>
        <v>75.413723287658968</v>
      </c>
      <c r="J42" s="185">
        <f>BalSheet!J15/'P&amp;L'!J5*365</f>
        <v>75.413723287658968</v>
      </c>
      <c r="K42" s="185">
        <f>BalSheet!K15/'P&amp;L'!K5*365</f>
        <v>75.413723287658968</v>
      </c>
      <c r="L42" s="185">
        <f>BalSheet!L15/'P&amp;L'!L5*365</f>
        <v>75.413723287658968</v>
      </c>
      <c r="M42" s="185">
        <f>BalSheet!M15/'P&amp;L'!M5*365</f>
        <v>27.063769070730956</v>
      </c>
      <c r="N42" s="185">
        <f>BalSheet!N15/'P&amp;L'!N5*365</f>
        <v>27.05155123882507</v>
      </c>
      <c r="O42" s="185">
        <f>BalSheet!O15/'P&amp;L'!O5*365</f>
        <v>27.03980828636546</v>
      </c>
      <c r="P42" s="185">
        <f>BalSheet!P15/'P&amp;L'!P5*365</f>
        <v>26.576449948797102</v>
      </c>
      <c r="Q42" s="185">
        <f>BalSheet!Q15/'P&amp;L'!Q5*365</f>
        <v>35.744714301844901</v>
      </c>
    </row>
    <row r="43" spans="2:34" s="14" customFormat="1" ht="14.45" hidden="1" customHeight="1" outlineLevel="1" collapsed="1" x14ac:dyDescent="0.25">
      <c r="B43" s="14" t="s">
        <v>544</v>
      </c>
      <c r="C43" s="6"/>
      <c r="D43" s="186">
        <f>Biz1bs!D47</f>
        <v>36.520647439046286</v>
      </c>
      <c r="E43" s="186">
        <f>Biz1bs!E47</f>
        <v>27.692383986907185</v>
      </c>
      <c r="F43" s="186">
        <f>Biz1bs!F47</f>
        <v>28.217132831838946</v>
      </c>
      <c r="G43" s="186">
        <f>Biz1bs!G47</f>
        <v>23.445565621843542</v>
      </c>
      <c r="H43" s="186">
        <f>Biz1bs!H47</f>
        <v>20.968995078519288</v>
      </c>
      <c r="I43" s="186">
        <f>Biz1bs!I47</f>
        <v>75.406906908982023</v>
      </c>
      <c r="J43" s="186">
        <f>Biz1bs!J47</f>
        <v>75.406906908982023</v>
      </c>
      <c r="K43" s="186">
        <f>Biz1bs!K47</f>
        <v>75.406906908982023</v>
      </c>
      <c r="L43" s="186">
        <f>Biz1bs!L47</f>
        <v>75.406906908982023</v>
      </c>
      <c r="M43" s="186">
        <f>Biz1bs!M47</f>
        <v>27.077194787196518</v>
      </c>
      <c r="N43" s="186">
        <f>Biz1bs!N47</f>
        <v>27.064782541620929</v>
      </c>
      <c r="O43" s="186">
        <f>Biz1bs!O47</f>
        <v>27.058537972766718</v>
      </c>
      <c r="P43" s="186">
        <f>Biz1bs!P47</f>
        <v>26.527978404673259</v>
      </c>
      <c r="Q43" s="186">
        <f>Biz1bs!Q47</f>
        <v>37.657295029264709</v>
      </c>
    </row>
    <row r="44" spans="2:34" s="14" customFormat="1" ht="14.45" hidden="1" customHeight="1" outlineLevel="1" collapsed="1" x14ac:dyDescent="0.25">
      <c r="B44" s="14" t="s">
        <v>545</v>
      </c>
      <c r="C44" s="6"/>
      <c r="D44" s="186">
        <f>Biz2bs!D47</f>
        <v>36.520647439046293</v>
      </c>
      <c r="E44" s="186">
        <f>Biz2bs!E47</f>
        <v>27.692383986907185</v>
      </c>
      <c r="F44" s="186">
        <f>Biz2bs!F47</f>
        <v>28.217132831838946</v>
      </c>
      <c r="G44" s="186">
        <f>Biz2bs!G47</f>
        <v>23.445565621843542</v>
      </c>
      <c r="H44" s="186">
        <f>Biz2bs!H47</f>
        <v>20.968995078519288</v>
      </c>
      <c r="I44" s="186">
        <f>Biz2bs!I47</f>
        <v>75.724391012695818</v>
      </c>
      <c r="J44" s="186">
        <f>Biz2bs!J47</f>
        <v>75.724391012695818</v>
      </c>
      <c r="K44" s="186">
        <f>Biz2bs!K47</f>
        <v>75.724391012695818</v>
      </c>
      <c r="L44" s="186">
        <f>Biz2bs!L47</f>
        <v>75.724391012695818</v>
      </c>
      <c r="M44" s="186">
        <f>Biz2bs!M47</f>
        <v>27.077194787196518</v>
      </c>
      <c r="N44" s="186">
        <f>Biz2bs!N47</f>
        <v>27.064782541620929</v>
      </c>
      <c r="O44" s="186">
        <f>Biz2bs!O47</f>
        <v>27.058537972766718</v>
      </c>
      <c r="P44" s="186">
        <f>Biz2bs!P47</f>
        <v>27.058537972766718</v>
      </c>
      <c r="Q44" s="186">
        <f>Biz2bs!Q47</f>
        <v>27.058537972766718</v>
      </c>
    </row>
    <row r="45" spans="2:34" s="14" customFormat="1" ht="14.45" hidden="1" customHeight="1" outlineLevel="1" collapsed="1" x14ac:dyDescent="0.25">
      <c r="B45" s="14" t="s">
        <v>546</v>
      </c>
      <c r="C45" s="6"/>
      <c r="D45" s="186">
        <f>CORPbs!D47</f>
        <v>0</v>
      </c>
      <c r="E45" s="186">
        <f>CORPbs!E47</f>
        <v>0</v>
      </c>
      <c r="F45" s="186">
        <f>CORPbs!F47</f>
        <v>0</v>
      </c>
      <c r="G45" s="186">
        <f>CORPbs!G47</f>
        <v>0</v>
      </c>
      <c r="H45" s="186">
        <f>CORPbs!H47</f>
        <v>0</v>
      </c>
      <c r="I45" s="186">
        <f>CORPbs!I47</f>
        <v>0</v>
      </c>
      <c r="J45" s="186">
        <f>CORPbs!J47</f>
        <v>0</v>
      </c>
      <c r="K45" s="186">
        <f>CORPbs!K47</f>
        <v>0</v>
      </c>
      <c r="L45" s="186">
        <f>CORPbs!L47</f>
        <v>0</v>
      </c>
      <c r="M45" s="186">
        <f>CORPbs!M47</f>
        <v>0</v>
      </c>
      <c r="N45" s="186">
        <f>CORPbs!N47</f>
        <v>0</v>
      </c>
      <c r="O45" s="186">
        <f>CORPbs!O47</f>
        <v>0</v>
      </c>
      <c r="P45" s="186">
        <f>CORPbs!P47</f>
        <v>0</v>
      </c>
      <c r="Q45" s="186">
        <f>CORPbs!Q47</f>
        <v>0</v>
      </c>
    </row>
    <row r="46" spans="2:34" s="14" customFormat="1" ht="14.45" hidden="1" customHeight="1" outlineLevel="1" collapsed="1" x14ac:dyDescent="0.25">
      <c r="C46" s="6"/>
      <c r="H46" s="31"/>
      <c r="M46" s="31"/>
      <c r="N46" s="31"/>
      <c r="O46" s="31"/>
      <c r="P46" s="31"/>
      <c r="Q46" s="31"/>
    </row>
    <row r="47" spans="2:34" s="14" customFormat="1" collapsed="1" x14ac:dyDescent="0.25">
      <c r="B47" s="14" t="s">
        <v>516</v>
      </c>
      <c r="C47" s="6"/>
      <c r="D47" s="185">
        <f>BalSheet!D77/'P&amp;L'!D10*365</f>
        <v>88.836594848298233</v>
      </c>
      <c r="E47" s="185">
        <f>BalSheet!E77/'P&amp;L'!E10*365</f>
        <v>67.50694565783968</v>
      </c>
      <c r="F47" s="185">
        <f>BalSheet!F77/'P&amp;L'!F10*365</f>
        <v>101.52171606839666</v>
      </c>
      <c r="G47" s="185">
        <f>BalSheet!G77/'P&amp;L'!G10*365</f>
        <v>83.864331748161504</v>
      </c>
      <c r="H47" s="185">
        <f>BalSheet!H77/'P&amp;L'!H10*365</f>
        <v>74.947363307356198</v>
      </c>
      <c r="I47" s="185">
        <f>BalSheet!I77/'P&amp;L'!I10*365</f>
        <v>268.82200786862313</v>
      </c>
      <c r="J47" s="185">
        <f>BalSheet!J77/'P&amp;L'!J10*365</f>
        <v>268.82200786862313</v>
      </c>
      <c r="K47" s="185">
        <f>BalSheet!K77/'P&amp;L'!K10*365</f>
        <v>268.82200786862313</v>
      </c>
      <c r="L47" s="185">
        <f>BalSheet!L77/'P&amp;L'!L10*365</f>
        <v>268.82200786862313</v>
      </c>
      <c r="M47" s="185">
        <f>BalSheet!M77/'P&amp;L'!M10*365</f>
        <v>75.20391980036807</v>
      </c>
      <c r="N47" s="185">
        <f>BalSheet!N77/'P&amp;L'!N10*365</f>
        <v>75.177720431130282</v>
      </c>
      <c r="O47" s="185">
        <f>BalSheet!O77/'P&amp;L'!O10*365</f>
        <v>75.167247774190372</v>
      </c>
      <c r="P47" s="185">
        <f>BalSheet!P77/'P&amp;L'!P10*365</f>
        <v>76.062444271014499</v>
      </c>
      <c r="Q47" s="185">
        <f>BalSheet!Q77/'P&amp;L'!Q10*365</f>
        <v>103.1509956637565</v>
      </c>
    </row>
    <row r="48" spans="2:34" s="14" customFormat="1" ht="14.45" hidden="1" customHeight="1" outlineLevel="1" collapsed="1" x14ac:dyDescent="0.25">
      <c r="B48" s="14" t="s">
        <v>544</v>
      </c>
      <c r="C48" s="6"/>
      <c r="D48" s="186">
        <f>Biz1bs!D48</f>
        <v>88.778450410359454</v>
      </c>
      <c r="E48" s="186">
        <f>Biz1bs!E48</f>
        <v>67.430593546725078</v>
      </c>
      <c r="F48" s="186">
        <f>Biz1bs!F48</f>
        <v>101.32939341397542</v>
      </c>
      <c r="G48" s="186">
        <f>Biz1bs!G48</f>
        <v>83.800214787404343</v>
      </c>
      <c r="H48" s="186">
        <f>Biz1bs!H48</f>
        <v>74.924279700118717</v>
      </c>
      <c r="I48" s="186">
        <f>Biz1bs!I48</f>
        <v>268.15833783422926</v>
      </c>
      <c r="J48" s="186">
        <f>Biz1bs!J48</f>
        <v>268.15833783422926</v>
      </c>
      <c r="K48" s="186">
        <f>Biz1bs!K48</f>
        <v>268.15833783422926</v>
      </c>
      <c r="L48" s="186">
        <f>Biz1bs!L48</f>
        <v>268.15833783422926</v>
      </c>
      <c r="M48" s="186">
        <f>Biz1bs!M48</f>
        <v>75.20391980036807</v>
      </c>
      <c r="N48" s="186">
        <f>Biz1bs!N48</f>
        <v>75.177720431130268</v>
      </c>
      <c r="O48" s="186">
        <f>Biz1bs!O48</f>
        <v>75.167247774190372</v>
      </c>
      <c r="P48" s="186">
        <f>Biz1bs!P48</f>
        <v>76.062444271014513</v>
      </c>
      <c r="Q48" s="186">
        <f>Biz1bs!Q48</f>
        <v>109.15324233439162</v>
      </c>
    </row>
    <row r="49" spans="1:17" s="14" customFormat="1" ht="14.45" hidden="1" customHeight="1" outlineLevel="1" collapsed="1" x14ac:dyDescent="0.25">
      <c r="B49" s="14" t="s">
        <v>545</v>
      </c>
      <c r="C49" s="6"/>
      <c r="D49" s="186">
        <f>Biz2bs!D48</f>
        <v>88.778450410359454</v>
      </c>
      <c r="E49" s="186">
        <f>Biz2bs!E48</f>
        <v>67.430593546725078</v>
      </c>
      <c r="F49" s="186">
        <f>Biz2bs!F48</f>
        <v>101.32939341397542</v>
      </c>
      <c r="G49" s="186">
        <f>Biz2bs!G48</f>
        <v>83.800214787404343</v>
      </c>
      <c r="H49" s="186">
        <f>Biz2bs!H48</f>
        <v>74.924279700118717</v>
      </c>
      <c r="I49" s="186">
        <f>Biz2bs!I48</f>
        <v>272.97250652357332</v>
      </c>
      <c r="J49" s="186">
        <f>Biz2bs!J48</f>
        <v>272.97250652357332</v>
      </c>
      <c r="K49" s="186">
        <f>Biz2bs!K48</f>
        <v>272.97250652357332</v>
      </c>
      <c r="L49" s="186">
        <f>Biz2bs!L48</f>
        <v>272.97250652357332</v>
      </c>
      <c r="M49" s="186">
        <f>Biz2bs!M48</f>
        <v>75.20391980036807</v>
      </c>
      <c r="N49" s="186">
        <f>Biz2bs!N48</f>
        <v>75.177720431130268</v>
      </c>
      <c r="O49" s="186">
        <f>Biz2bs!O48</f>
        <v>75.167247774190372</v>
      </c>
      <c r="P49" s="186">
        <f>Biz2bs!P48</f>
        <v>76.062444271014513</v>
      </c>
      <c r="Q49" s="186">
        <f>Biz2bs!Q48</f>
        <v>75.131931099659013</v>
      </c>
    </row>
    <row r="50" spans="1:17" s="14" customFormat="1" ht="14.45" hidden="1" customHeight="1" outlineLevel="1" collapsed="1" x14ac:dyDescent="0.25">
      <c r="B50" s="14" t="s">
        <v>546</v>
      </c>
      <c r="C50" s="6"/>
      <c r="D50" s="186">
        <f>CORPbs!D48</f>
        <v>0</v>
      </c>
      <c r="E50" s="186">
        <f>CORPbs!E48</f>
        <v>0</v>
      </c>
      <c r="F50" s="186">
        <f>CORPbs!F48</f>
        <v>0</v>
      </c>
      <c r="G50" s="186">
        <f>CORPbs!G48</f>
        <v>0</v>
      </c>
      <c r="H50" s="186">
        <f>CORPbs!H48</f>
        <v>0</v>
      </c>
      <c r="I50" s="186">
        <f>CORPbs!I48</f>
        <v>0</v>
      </c>
      <c r="J50" s="186">
        <f>CORPbs!J48</f>
        <v>0</v>
      </c>
      <c r="K50" s="186">
        <f>CORPbs!K48</f>
        <v>0</v>
      </c>
      <c r="L50" s="186">
        <f>CORPbs!L48</f>
        <v>0</v>
      </c>
      <c r="M50" s="186">
        <f>CORPbs!M48</f>
        <v>0</v>
      </c>
      <c r="N50" s="186">
        <f>CORPbs!N48</f>
        <v>0</v>
      </c>
      <c r="O50" s="186">
        <f>CORPbs!O48</f>
        <v>0</v>
      </c>
      <c r="P50" s="186">
        <f>CORPbs!P48</f>
        <v>0</v>
      </c>
      <c r="Q50" s="186">
        <f>CORPbs!Q48</f>
        <v>0</v>
      </c>
    </row>
    <row r="51" spans="1:17" s="14" customFormat="1" ht="14.45" hidden="1" customHeight="1" outlineLevel="1" collapsed="1" x14ac:dyDescent="0.25">
      <c r="C51" s="6"/>
      <c r="H51" s="31"/>
      <c r="M51" s="31"/>
      <c r="N51" s="31"/>
      <c r="O51" s="31"/>
      <c r="P51" s="31"/>
      <c r="Q51" s="31"/>
    </row>
    <row r="52" spans="1:17" s="14" customFormat="1" collapsed="1" x14ac:dyDescent="0.25">
      <c r="A52" s="29" t="s">
        <v>126</v>
      </c>
      <c r="C52" s="6"/>
      <c r="H52" s="31"/>
      <c r="M52" s="31"/>
      <c r="N52" s="31"/>
      <c r="O52" s="31"/>
      <c r="P52" s="31"/>
      <c r="Q52" s="31"/>
    </row>
    <row r="53" spans="1:17" s="14" customFormat="1" collapsed="1" x14ac:dyDescent="0.25">
      <c r="B53" s="14" t="s">
        <v>130</v>
      </c>
      <c r="C53" s="6"/>
      <c r="D53" s="181">
        <f t="shared" ref="D53:Q53" si="24">IF(D239=0,"",(D353+D383)/D239)</f>
        <v>-6.5423366065562254</v>
      </c>
      <c r="E53" s="181">
        <f t="shared" si="24"/>
        <v>-5.380125275274307</v>
      </c>
      <c r="F53" s="181">
        <f t="shared" si="24"/>
        <v>-7.9437389973304784</v>
      </c>
      <c r="G53" s="181">
        <f t="shared" si="24"/>
        <v>-42.604208834571367</v>
      </c>
      <c r="H53" s="181">
        <f t="shared" si="24"/>
        <v>13.651773732208332</v>
      </c>
      <c r="I53" s="181">
        <f t="shared" si="24"/>
        <v>211.99802113650932</v>
      </c>
      <c r="J53" s="181">
        <f t="shared" si="24"/>
        <v>211.99802113650932</v>
      </c>
      <c r="K53" s="181">
        <f t="shared" si="24"/>
        <v>211.99802113650932</v>
      </c>
      <c r="L53" s="181">
        <f t="shared" si="24"/>
        <v>211.99802113650932</v>
      </c>
      <c r="M53" s="181">
        <f t="shared" si="24"/>
        <v>52.908626366031221</v>
      </c>
      <c r="N53" s="181">
        <f t="shared" si="24"/>
        <v>19.121597388287373</v>
      </c>
      <c r="O53" s="181">
        <f t="shared" si="24"/>
        <v>18.028171291453788</v>
      </c>
      <c r="P53" s="181">
        <f t="shared" si="24"/>
        <v>21.93681882835337</v>
      </c>
      <c r="Q53" s="181">
        <f t="shared" si="24"/>
        <v>-24.835453451971038</v>
      </c>
    </row>
    <row r="54" spans="1:17" s="14" customFormat="1" ht="14.45" hidden="1" customHeight="1" outlineLevel="1" collapsed="1" x14ac:dyDescent="0.25">
      <c r="B54" s="14" t="s">
        <v>544</v>
      </c>
      <c r="C54" s="6"/>
      <c r="D54" s="182">
        <f t="shared" ref="D54:Q54" si="25">IF(D240=0,"",(D354+D384)/D240)</f>
        <v>0</v>
      </c>
      <c r="E54" s="182">
        <f t="shared" si="25"/>
        <v>0</v>
      </c>
      <c r="F54" s="182">
        <f t="shared" si="25"/>
        <v>-0.12390920955199995</v>
      </c>
      <c r="G54" s="182">
        <f t="shared" si="25"/>
        <v>1.174043508461206</v>
      </c>
      <c r="H54" s="182">
        <f t="shared" si="25"/>
        <v>-0.16751160499543616</v>
      </c>
      <c r="I54" s="182">
        <f t="shared" si="25"/>
        <v>6.3322977712440692E-2</v>
      </c>
      <c r="J54" s="182">
        <f t="shared" si="25"/>
        <v>6.3322977712440692E-2</v>
      </c>
      <c r="K54" s="182">
        <f t="shared" si="25"/>
        <v>6.3322977712440692E-2</v>
      </c>
      <c r="L54" s="182">
        <f t="shared" si="25"/>
        <v>6.3322977712440692E-2</v>
      </c>
      <c r="M54" s="182">
        <f t="shared" si="25"/>
        <v>5.311631354168545E-3</v>
      </c>
      <c r="N54" s="182">
        <f t="shared" si="25"/>
        <v>-6.8323817362348592E-6</v>
      </c>
      <c r="O54" s="182">
        <f t="shared" si="25"/>
        <v>-6.4848236488696203E-6</v>
      </c>
      <c r="P54" s="182">
        <f t="shared" si="25"/>
        <v>0</v>
      </c>
      <c r="Q54" s="182">
        <f t="shared" si="25"/>
        <v>0</v>
      </c>
    </row>
    <row r="55" spans="1:17" s="14" customFormat="1" ht="14.45" hidden="1" customHeight="1" outlineLevel="1" collapsed="1" x14ac:dyDescent="0.25">
      <c r="B55" s="14" t="s">
        <v>545</v>
      </c>
      <c r="C55" s="6"/>
      <c r="D55" s="182">
        <f t="shared" ref="D55:Q55" si="26">IF(D241=0,"",(D355+D385)/D241)</f>
        <v>0</v>
      </c>
      <c r="E55" s="182">
        <f t="shared" si="26"/>
        <v>0</v>
      </c>
      <c r="F55" s="182">
        <f t="shared" si="26"/>
        <v>0.59567668832286769</v>
      </c>
      <c r="G55" s="182">
        <f t="shared" si="26"/>
        <v>-0.7246980424822993</v>
      </c>
      <c r="H55" s="182">
        <f t="shared" si="26"/>
        <v>0.79401723751958786</v>
      </c>
      <c r="I55" s="182">
        <f t="shared" si="26"/>
        <v>0</v>
      </c>
      <c r="J55" s="182">
        <f t="shared" si="26"/>
        <v>0</v>
      </c>
      <c r="K55" s="182">
        <f t="shared" si="26"/>
        <v>0</v>
      </c>
      <c r="L55" s="182">
        <f t="shared" si="26"/>
        <v>0</v>
      </c>
      <c r="M55" s="182">
        <f t="shared" si="26"/>
        <v>0</v>
      </c>
      <c r="N55" s="182">
        <f t="shared" si="26"/>
        <v>0</v>
      </c>
      <c r="O55" s="182">
        <f t="shared" si="26"/>
        <v>0</v>
      </c>
      <c r="P55" s="182">
        <f t="shared" si="26"/>
        <v>0</v>
      </c>
      <c r="Q55" s="182">
        <f t="shared" si="26"/>
        <v>0</v>
      </c>
    </row>
    <row r="56" spans="1:17" s="14" customFormat="1" ht="14.45" hidden="1" customHeight="1" outlineLevel="1" collapsed="1" x14ac:dyDescent="0.25">
      <c r="B56" s="14" t="s">
        <v>546</v>
      </c>
      <c r="C56" s="6"/>
      <c r="D56" s="182">
        <f t="shared" ref="D56:Q56" si="27">IF(D242=0,"",(D356+D386)/D242)</f>
        <v>-9.8603887882991739</v>
      </c>
      <c r="E56" s="182">
        <f t="shared" si="27"/>
        <v>-10.350604237400717</v>
      </c>
      <c r="F56" s="182">
        <f t="shared" si="27"/>
        <v>-9.5527078088427029</v>
      </c>
      <c r="G56" s="182">
        <f t="shared" si="27"/>
        <v>-11.822275301808141</v>
      </c>
      <c r="H56" s="182">
        <f t="shared" si="27"/>
        <v>-7.7524696963608806</v>
      </c>
      <c r="I56" s="182">
        <f t="shared" si="27"/>
        <v>-25.566671672528209</v>
      </c>
      <c r="J56" s="182">
        <f t="shared" si="27"/>
        <v>-25.566671672528209</v>
      </c>
      <c r="K56" s="182">
        <f t="shared" si="27"/>
        <v>-25.566671672528209</v>
      </c>
      <c r="L56" s="182">
        <f t="shared" si="27"/>
        <v>-25.566671672528209</v>
      </c>
      <c r="M56" s="182">
        <f t="shared" si="27"/>
        <v>-6.3916679181320522</v>
      </c>
      <c r="N56" s="182">
        <f t="shared" si="27"/>
        <v>-5.9158048596607147</v>
      </c>
      <c r="O56" s="182">
        <f t="shared" si="27"/>
        <v>-5.6673292045911774</v>
      </c>
      <c r="P56" s="182">
        <f t="shared" si="27"/>
        <v>-5.6673292045911774</v>
      </c>
      <c r="Q56" s="182">
        <f t="shared" si="27"/>
        <v>-5.6673292045911774</v>
      </c>
    </row>
    <row r="57" spans="1:17" s="14" customFormat="1" ht="14.45" hidden="1" customHeight="1" outlineLevel="1" x14ac:dyDescent="0.25">
      <c r="C57" s="6"/>
      <c r="H57" s="31"/>
      <c r="M57" s="31"/>
      <c r="N57" s="31"/>
      <c r="O57" s="31"/>
      <c r="P57" s="31"/>
      <c r="Q57" s="31"/>
    </row>
    <row r="58" spans="1:17" s="14" customFormat="1" collapsed="1" x14ac:dyDescent="0.25">
      <c r="B58" s="14" t="s">
        <v>131</v>
      </c>
      <c r="C58" s="6"/>
      <c r="D58" s="181">
        <f t="shared" ref="D58:Q58" si="28">IF(D239=0,"",(D353+D383-D281)/D239)</f>
        <v>3.4055249696727778</v>
      </c>
      <c r="E58" s="181">
        <f t="shared" si="28"/>
        <v>1.991203233800704</v>
      </c>
      <c r="F58" s="181">
        <f t="shared" si="28"/>
        <v>1.4907611671012906</v>
      </c>
      <c r="G58" s="181">
        <f t="shared" si="28"/>
        <v>3.4171568276799116</v>
      </c>
      <c r="H58" s="181">
        <f t="shared" si="28"/>
        <v>-2.7126797092249086</v>
      </c>
      <c r="I58" s="181">
        <f t="shared" si="28"/>
        <v>-34.440855947096793</v>
      </c>
      <c r="J58" s="181">
        <f t="shared" si="28"/>
        <v>-34.43071195639277</v>
      </c>
      <c r="K58" s="181">
        <f t="shared" si="28"/>
        <v>-34.420567965688797</v>
      </c>
      <c r="L58" s="181">
        <f t="shared" si="28"/>
        <v>-34.41042397498483</v>
      </c>
      <c r="M58" s="181">
        <f t="shared" si="28"/>
        <v>13.341628955635306</v>
      </c>
      <c r="N58" s="181">
        <f t="shared" si="28"/>
        <v>3.435441854466192</v>
      </c>
      <c r="O58" s="181">
        <f t="shared" si="28"/>
        <v>2.5069669928701614</v>
      </c>
      <c r="P58" s="181">
        <f t="shared" si="28"/>
        <v>2.0664959123708089</v>
      </c>
      <c r="Q58" s="181">
        <f t="shared" si="28"/>
        <v>-3.4975299407544247</v>
      </c>
    </row>
    <row r="59" spans="1:17" s="14" customFormat="1" ht="14.45" hidden="1" customHeight="1" outlineLevel="1" collapsed="1" x14ac:dyDescent="0.25">
      <c r="B59" s="14" t="s">
        <v>544</v>
      </c>
      <c r="C59" s="6"/>
      <c r="D59" s="182">
        <f t="shared" ref="D59:Q59" si="29">IF(D240=0,"",(D354+D384-D282)/D240)</f>
        <v>1.9992174592656657</v>
      </c>
      <c r="E59" s="182">
        <f t="shared" si="29"/>
        <v>0.44042801848760477</v>
      </c>
      <c r="F59" s="182">
        <f t="shared" si="29"/>
        <v>-0.12388111115424529</v>
      </c>
      <c r="G59" s="182">
        <f t="shared" si="29"/>
        <v>0.74938884353338242</v>
      </c>
      <c r="H59" s="182">
        <f t="shared" si="29"/>
        <v>-0.48166216762058178</v>
      </c>
      <c r="I59" s="182">
        <f t="shared" si="29"/>
        <v>-2.0845518807236196</v>
      </c>
      <c r="J59" s="182">
        <f t="shared" si="29"/>
        <v>-2.7397776332527561</v>
      </c>
      <c r="K59" s="182">
        <f t="shared" si="29"/>
        <v>-3.3950033857818922</v>
      </c>
      <c r="L59" s="182">
        <f t="shared" si="29"/>
        <v>-4.0502291383110292</v>
      </c>
      <c r="M59" s="182">
        <f t="shared" si="29"/>
        <v>-0.97048352405163019</v>
      </c>
      <c r="N59" s="182">
        <f t="shared" si="29"/>
        <v>-1.5626845292846629</v>
      </c>
      <c r="O59" s="182">
        <f t="shared" si="29"/>
        <v>-2.1640665215243007</v>
      </c>
      <c r="P59" s="182">
        <f t="shared" si="29"/>
        <v>-3.1744892467444283</v>
      </c>
      <c r="Q59" s="182">
        <f t="shared" si="29"/>
        <v>-6.1723229267027389</v>
      </c>
    </row>
    <row r="60" spans="1:17" s="14" customFormat="1" ht="14.45" hidden="1" customHeight="1" outlineLevel="1" collapsed="1" x14ac:dyDescent="0.25">
      <c r="B60" s="14" t="s">
        <v>545</v>
      </c>
      <c r="C60" s="6"/>
      <c r="D60" s="182">
        <f t="shared" ref="D60:Q60" si="30">IF(D241=0,"",(D355+D385-D283)/D241)</f>
        <v>0</v>
      </c>
      <c r="E60" s="182">
        <f t="shared" si="30"/>
        <v>-1.3948946349156595</v>
      </c>
      <c r="F60" s="182">
        <f t="shared" si="30"/>
        <v>-2.1685548551228004</v>
      </c>
      <c r="G60" s="182">
        <f t="shared" si="30"/>
        <v>-4.2774036551690271</v>
      </c>
      <c r="H60" s="182">
        <f t="shared" si="30"/>
        <v>-8.3941344511471598</v>
      </c>
      <c r="I60" s="182">
        <f t="shared" si="30"/>
        <v>-19.405190137856323</v>
      </c>
      <c r="J60" s="182">
        <f t="shared" si="30"/>
        <v>-20.086512634599607</v>
      </c>
      <c r="K60" s="182">
        <f t="shared" si="30"/>
        <v>-20.767835131342892</v>
      </c>
      <c r="L60" s="182">
        <f t="shared" si="30"/>
        <v>-21.449157628086173</v>
      </c>
      <c r="M60" s="182">
        <f t="shared" si="30"/>
        <v>-3.9764786542224093</v>
      </c>
      <c r="N60" s="182">
        <f t="shared" si="30"/>
        <v>-5.3860502409782978</v>
      </c>
      <c r="O60" s="182">
        <f t="shared" si="30"/>
        <v>-6.4595998494978</v>
      </c>
      <c r="P60" s="182">
        <f t="shared" si="30"/>
        <v>-7.3093746996151099</v>
      </c>
      <c r="Q60" s="182">
        <f t="shared" si="30"/>
        <v>-7.8971678365885571</v>
      </c>
    </row>
    <row r="61" spans="1:17" s="14" customFormat="1" ht="14.45" hidden="1" customHeight="1" outlineLevel="1" collapsed="1" x14ac:dyDescent="0.25">
      <c r="B61" s="14" t="s">
        <v>546</v>
      </c>
      <c r="C61" s="6"/>
      <c r="D61" s="182">
        <f t="shared" ref="D61:Q61" si="31">IF(D242=0,"",(D356+D386-D284)/D242)</f>
        <v>3.9589964049681452</v>
      </c>
      <c r="E61" s="182">
        <f t="shared" si="31"/>
        <v>3.0943433871921306</v>
      </c>
      <c r="F61" s="182">
        <f t="shared" si="31"/>
        <v>1.5623201218112721</v>
      </c>
      <c r="G61" s="182">
        <f t="shared" si="31"/>
        <v>1.1606699697418139</v>
      </c>
      <c r="H61" s="182">
        <f t="shared" si="31"/>
        <v>0.37706964618250094</v>
      </c>
      <c r="I61" s="182">
        <f t="shared" si="31"/>
        <v>0.50586075806643227</v>
      </c>
      <c r="J61" s="182">
        <f t="shared" si="31"/>
        <v>-0.23180683279441067</v>
      </c>
      <c r="K61" s="182">
        <f t="shared" si="31"/>
        <v>-0.9694744236552536</v>
      </c>
      <c r="L61" s="182">
        <f t="shared" si="31"/>
        <v>-1.7071420145160967</v>
      </c>
      <c r="M61" s="182">
        <f t="shared" si="31"/>
        <v>-2.9303702036165475</v>
      </c>
      <c r="N61" s="182">
        <f t="shared" si="31"/>
        <v>-3.3678915241353486</v>
      </c>
      <c r="O61" s="182">
        <f t="shared" si="31"/>
        <v>-3.8948883039130471</v>
      </c>
      <c r="P61" s="182">
        <f t="shared" si="31"/>
        <v>-4.7811109147778819</v>
      </c>
      <c r="Q61" s="182">
        <f t="shared" si="31"/>
        <v>-5.6673292045911774</v>
      </c>
    </row>
    <row r="62" spans="1:17" s="14" customFormat="1" ht="14.45" hidden="1" customHeight="1" outlineLevel="1" x14ac:dyDescent="0.25">
      <c r="C62" s="6"/>
      <c r="H62" s="31"/>
      <c r="M62" s="31"/>
      <c r="N62" s="31"/>
      <c r="O62" s="31"/>
      <c r="P62" s="31"/>
      <c r="Q62" s="31"/>
    </row>
    <row r="63" spans="1:17" s="14" customFormat="1" collapsed="1" x14ac:dyDescent="0.25">
      <c r="B63" s="14" t="s">
        <v>132</v>
      </c>
      <c r="C63" s="6"/>
      <c r="D63" s="181">
        <f t="shared" ref="D63:Q63" si="32">IF(D254=0,"",D239/D254)</f>
        <v>-1.2264309609083897</v>
      </c>
      <c r="E63" s="181">
        <f t="shared" si="32"/>
        <v>-1.4013513242818201</v>
      </c>
      <c r="F63" s="181">
        <f t="shared" si="32"/>
        <v>-1.0040760648147351</v>
      </c>
      <c r="G63" s="181">
        <f t="shared" si="32"/>
        <v>-0.32587143402006802</v>
      </c>
      <c r="H63" s="181">
        <f t="shared" si="32"/>
        <v>0.79820426110328291</v>
      </c>
      <c r="I63" s="181">
        <f t="shared" si="32"/>
        <v>0.20380260308416953</v>
      </c>
      <c r="J63" s="181">
        <f t="shared" si="32"/>
        <v>0.20380260308416953</v>
      </c>
      <c r="K63" s="181">
        <f t="shared" si="32"/>
        <v>0.20380260308416953</v>
      </c>
      <c r="L63" s="181">
        <f t="shared" si="32"/>
        <v>0.20380260308416953</v>
      </c>
      <c r="M63" s="181">
        <f t="shared" si="32"/>
        <v>0.21991952615528867</v>
      </c>
      <c r="N63" s="181">
        <f t="shared" si="32"/>
        <v>0.60690489220296007</v>
      </c>
      <c r="O63" s="181">
        <f t="shared" si="32"/>
        <v>0.64212875074292153</v>
      </c>
      <c r="P63" s="181">
        <f t="shared" si="32"/>
        <v>0.54430401239535386</v>
      </c>
      <c r="Q63" s="181">
        <f t="shared" si="32"/>
        <v>-0.48077634380841389</v>
      </c>
    </row>
    <row r="64" spans="1:17" s="14" customFormat="1" ht="14.45" hidden="1" customHeight="1" outlineLevel="1" collapsed="1" x14ac:dyDescent="0.25">
      <c r="B64" s="14" t="s">
        <v>544</v>
      </c>
      <c r="C64" s="6"/>
      <c r="D64" s="182">
        <f t="shared" ref="D64:Q64" si="33">IF(D255=0,"",D240/D255)</f>
        <v>-25.050215408755435</v>
      </c>
      <c r="E64" s="182">
        <f t="shared" si="33"/>
        <v>-10.115937465005189</v>
      </c>
      <c r="F64" s="182">
        <f t="shared" si="33"/>
        <v>-6.1175652483006049</v>
      </c>
      <c r="G64" s="182">
        <f t="shared" si="33"/>
        <v>27.336583868823908</v>
      </c>
      <c r="H64" s="182">
        <f t="shared" si="33"/>
        <v>55.321504736187038</v>
      </c>
      <c r="I64" s="182">
        <f t="shared" si="33"/>
        <v>23.179779689807489</v>
      </c>
      <c r="J64" s="182">
        <f t="shared" si="33"/>
        <v>23.179779689807489</v>
      </c>
      <c r="K64" s="182">
        <f t="shared" si="33"/>
        <v>23.179779689807489</v>
      </c>
      <c r="L64" s="182">
        <f t="shared" si="33"/>
        <v>23.179779689807489</v>
      </c>
      <c r="M64" s="182">
        <f t="shared" si="33"/>
        <v>92.719118759229957</v>
      </c>
      <c r="N64" s="182">
        <f t="shared" si="33"/>
        <v>109.60875984390724</v>
      </c>
      <c r="O64" s="182">
        <f t="shared" si="33"/>
        <v>103.93497749433234</v>
      </c>
      <c r="P64" s="182" t="str">
        <f t="shared" si="33"/>
        <v/>
      </c>
      <c r="Q64" s="182" t="str">
        <f t="shared" si="33"/>
        <v/>
      </c>
    </row>
    <row r="65" spans="2:17" s="14" customFormat="1" ht="14.45" hidden="1" customHeight="1" outlineLevel="1" collapsed="1" x14ac:dyDescent="0.25">
      <c r="B65" s="14" t="s">
        <v>545</v>
      </c>
      <c r="C65" s="6"/>
      <c r="D65" s="182">
        <f t="shared" ref="D65:Q65" si="34">IF(D256=0,"",D241/D256)</f>
        <v>0.42070852977626011</v>
      </c>
      <c r="E65" s="182">
        <f t="shared" si="34"/>
        <v>1.1408096743316578</v>
      </c>
      <c r="F65" s="182">
        <f t="shared" si="34"/>
        <v>2.3955705355742585</v>
      </c>
      <c r="G65" s="182">
        <f t="shared" si="34"/>
        <v>5.8140520383083292</v>
      </c>
      <c r="H65" s="182">
        <f t="shared" si="34"/>
        <v>12.173478714360265</v>
      </c>
      <c r="I65" s="182">
        <f t="shared" si="34"/>
        <v>5.9129994465074089</v>
      </c>
      <c r="J65" s="182">
        <f t="shared" si="34"/>
        <v>5.9129994465074089</v>
      </c>
      <c r="K65" s="182">
        <f t="shared" si="34"/>
        <v>5.9129994465074089</v>
      </c>
      <c r="L65" s="182">
        <f t="shared" si="34"/>
        <v>5.9129994465074089</v>
      </c>
      <c r="M65" s="182">
        <f t="shared" si="34"/>
        <v>23.651997786029636</v>
      </c>
      <c r="N65" s="182">
        <f t="shared" si="34"/>
        <v>22.674942702078525</v>
      </c>
      <c r="O65" s="182">
        <f t="shared" si="34"/>
        <v>21.355556870048616</v>
      </c>
      <c r="P65" s="182" t="str">
        <f t="shared" si="34"/>
        <v/>
      </c>
      <c r="Q65" s="182" t="str">
        <f t="shared" si="34"/>
        <v/>
      </c>
    </row>
    <row r="66" spans="2:17" s="14" customFormat="1" ht="14.45" hidden="1" customHeight="1" outlineLevel="1" collapsed="1" x14ac:dyDescent="0.25">
      <c r="B66" s="14" t="s">
        <v>546</v>
      </c>
      <c r="C66" s="6"/>
      <c r="D66" s="182">
        <f t="shared" ref="D66:Q66" si="35">IF(D257=0,"",D242/D257)</f>
        <v>-0.98471384353976732</v>
      </c>
      <c r="E66" s="182">
        <f t="shared" si="35"/>
        <v>-0.90384708404529157</v>
      </c>
      <c r="F66" s="182">
        <f t="shared" si="35"/>
        <v>-0.91083006665721167</v>
      </c>
      <c r="G66" s="182">
        <f t="shared" si="35"/>
        <v>-1.1556978672970477</v>
      </c>
      <c r="H66" s="182">
        <f t="shared" si="35"/>
        <v>-1.5136369240683201</v>
      </c>
      <c r="I66" s="182">
        <f t="shared" si="35"/>
        <v>-1.8681037031961771</v>
      </c>
      <c r="J66" s="182">
        <f t="shared" si="35"/>
        <v>-1.8681037031961771</v>
      </c>
      <c r="K66" s="182">
        <f t="shared" si="35"/>
        <v>-1.8681037031961771</v>
      </c>
      <c r="L66" s="182">
        <f t="shared" si="35"/>
        <v>-1.8681037031961771</v>
      </c>
      <c r="M66" s="182">
        <f t="shared" si="35"/>
        <v>-1.8681037031961771</v>
      </c>
      <c r="N66" s="182">
        <f t="shared" si="35"/>
        <v>-2.018372612133033</v>
      </c>
      <c r="O66" s="182">
        <f t="shared" si="35"/>
        <v>-2.1068651698916123</v>
      </c>
      <c r="P66" s="182">
        <f t="shared" si="35"/>
        <v>-2.1068651698916123</v>
      </c>
      <c r="Q66" s="182">
        <f t="shared" si="35"/>
        <v>-2.1068651698916123</v>
      </c>
    </row>
    <row r="67" spans="2:17" s="14" customFormat="1" ht="14.45" hidden="1" customHeight="1" outlineLevel="1" x14ac:dyDescent="0.25">
      <c r="C67" s="6"/>
      <c r="H67" s="31"/>
      <c r="M67" s="31"/>
      <c r="N67" s="31"/>
      <c r="O67" s="31"/>
      <c r="P67" s="31"/>
      <c r="Q67" s="31"/>
    </row>
    <row r="68" spans="2:17" s="14" customFormat="1" collapsed="1" x14ac:dyDescent="0.25">
      <c r="B68" s="14" t="s">
        <v>129</v>
      </c>
      <c r="C68" s="6"/>
      <c r="D68" s="181">
        <f t="shared" ref="D68:Q68" si="36">IF(D254=0,"",D249/D254)</f>
        <v>-1.5988229203180497</v>
      </c>
      <c r="E68" s="181">
        <f t="shared" si="36"/>
        <v>-3.0894422567557918</v>
      </c>
      <c r="F68" s="181">
        <f t="shared" si="36"/>
        <v>-1.0362395773582704</v>
      </c>
      <c r="G68" s="181">
        <f t="shared" si="36"/>
        <v>-0.86568036931706238</v>
      </c>
      <c r="H68" s="181">
        <f t="shared" si="36"/>
        <v>0.15419419891819536</v>
      </c>
      <c r="I68" s="181">
        <f t="shared" si="36"/>
        <v>-0.83917002481485092</v>
      </c>
      <c r="J68" s="181">
        <f t="shared" si="36"/>
        <v>-0.83917002481485092</v>
      </c>
      <c r="K68" s="181">
        <f t="shared" si="36"/>
        <v>-0.83917002481485092</v>
      </c>
      <c r="L68" s="181">
        <f t="shared" si="36"/>
        <v>-0.83917002481485092</v>
      </c>
      <c r="M68" s="181">
        <f t="shared" si="36"/>
        <v>-0.49740152526900511</v>
      </c>
      <c r="N68" s="181">
        <f t="shared" si="36"/>
        <v>-0.121494523735277</v>
      </c>
      <c r="O68" s="181">
        <f t="shared" si="36"/>
        <v>-8.4476567265637445E-2</v>
      </c>
      <c r="P68" s="181">
        <f t="shared" si="36"/>
        <v>-0.20514025562624025</v>
      </c>
      <c r="Q68" s="181">
        <f t="shared" si="36"/>
        <v>-1.2302206118300081</v>
      </c>
    </row>
    <row r="69" spans="2:17" s="14" customFormat="1" ht="14.45" hidden="1" customHeight="1" outlineLevel="1" collapsed="1" x14ac:dyDescent="0.25">
      <c r="B69" s="14" t="s">
        <v>544</v>
      </c>
      <c r="C69" s="6"/>
      <c r="D69" s="182">
        <f t="shared" ref="D69:Q69" si="37">IF(D255=0,"",D250/D255)</f>
        <v>-36.619311487506849</v>
      </c>
      <c r="E69" s="182">
        <f t="shared" si="37"/>
        <v>-13.072184746623639</v>
      </c>
      <c r="F69" s="182">
        <f t="shared" si="37"/>
        <v>-11.016446843659963</v>
      </c>
      <c r="G69" s="182">
        <f t="shared" si="37"/>
        <v>13.406116241829331</v>
      </c>
      <c r="H69" s="182">
        <f t="shared" si="37"/>
        <v>44.650273692969613</v>
      </c>
      <c r="I69" s="182">
        <f t="shared" si="37"/>
        <v>17.295251088409294</v>
      </c>
      <c r="J69" s="182">
        <f t="shared" si="37"/>
        <v>17.295251088409294</v>
      </c>
      <c r="K69" s="182">
        <f t="shared" si="37"/>
        <v>17.295251088409294</v>
      </c>
      <c r="L69" s="182">
        <f t="shared" si="37"/>
        <v>17.295251088409294</v>
      </c>
      <c r="M69" s="182">
        <f t="shared" si="37"/>
        <v>69.181004353637178</v>
      </c>
      <c r="N69" s="182">
        <f t="shared" si="37"/>
        <v>86.830982066129465</v>
      </c>
      <c r="O69" s="182">
        <f t="shared" si="37"/>
        <v>82.934977494332344</v>
      </c>
      <c r="P69" s="182" t="str">
        <f t="shared" si="37"/>
        <v/>
      </c>
      <c r="Q69" s="182" t="str">
        <f t="shared" si="37"/>
        <v/>
      </c>
    </row>
    <row r="70" spans="2:17" s="14" customFormat="1" ht="14.45" hidden="1" customHeight="1" outlineLevel="1" collapsed="1" x14ac:dyDescent="0.25">
      <c r="B70" s="14" t="s">
        <v>545</v>
      </c>
      <c r="C70" s="6"/>
      <c r="D70" s="182">
        <f t="shared" ref="D70:Q70" si="38">IF(D256=0,"",D251/D256)</f>
        <v>-5.8539160166612224E-2</v>
      </c>
      <c r="E70" s="182">
        <f t="shared" si="38"/>
        <v>0.7303948901487014</v>
      </c>
      <c r="F70" s="182">
        <f t="shared" si="38"/>
        <v>1.3594555097243202</v>
      </c>
      <c r="G70" s="182">
        <f t="shared" si="38"/>
        <v>1.0232071725206715</v>
      </c>
      <c r="H70" s="182">
        <f t="shared" si="38"/>
        <v>-3.1387517594055092</v>
      </c>
      <c r="I70" s="182">
        <f t="shared" si="38"/>
        <v>1.698176673482781</v>
      </c>
      <c r="J70" s="182">
        <f t="shared" si="38"/>
        <v>1.698176673482781</v>
      </c>
      <c r="K70" s="182">
        <f t="shared" si="38"/>
        <v>1.698176673482781</v>
      </c>
      <c r="L70" s="182">
        <f t="shared" si="38"/>
        <v>1.698176673482781</v>
      </c>
      <c r="M70" s="182">
        <f t="shared" si="38"/>
        <v>6.792706693931124</v>
      </c>
      <c r="N70" s="182">
        <f t="shared" si="38"/>
        <v>5.8156516099800131</v>
      </c>
      <c r="O70" s="182">
        <f t="shared" si="38"/>
        <v>2.3888543914377913</v>
      </c>
      <c r="P70" s="182" t="str">
        <f t="shared" si="38"/>
        <v/>
      </c>
      <c r="Q70" s="182" t="str">
        <f t="shared" si="38"/>
        <v/>
      </c>
    </row>
    <row r="71" spans="2:17" s="14" customFormat="1" ht="14.45" hidden="1" customHeight="1" outlineLevel="1" collapsed="1" x14ac:dyDescent="0.25">
      <c r="B71" s="14" t="s">
        <v>546</v>
      </c>
      <c r="C71" s="6"/>
      <c r="D71" s="182">
        <f t="shared" ref="D71:Q71" si="39">IF(D257=0,"",D252/D257)</f>
        <v>-1.0787242565382738</v>
      </c>
      <c r="E71" s="182">
        <f t="shared" si="39"/>
        <v>-2.6486809257756594</v>
      </c>
      <c r="F71" s="182">
        <f t="shared" si="39"/>
        <v>-0.63265037583321515</v>
      </c>
      <c r="G71" s="182">
        <f t="shared" si="39"/>
        <v>-1.2749912799687462</v>
      </c>
      <c r="H71" s="182">
        <f t="shared" si="39"/>
        <v>-1.6587443166776612</v>
      </c>
      <c r="I71" s="182">
        <f t="shared" si="39"/>
        <v>-2.4270112929071965</v>
      </c>
      <c r="J71" s="182">
        <f t="shared" si="39"/>
        <v>-2.4270112929071965</v>
      </c>
      <c r="K71" s="182">
        <f t="shared" si="39"/>
        <v>-2.4270112929071965</v>
      </c>
      <c r="L71" s="182">
        <f t="shared" si="39"/>
        <v>-2.4270112929071965</v>
      </c>
      <c r="M71" s="182">
        <f t="shared" si="39"/>
        <v>-2.0078306006239317</v>
      </c>
      <c r="N71" s="182">
        <f t="shared" si="39"/>
        <v>-2.1453970643400826</v>
      </c>
      <c r="O71" s="182">
        <f t="shared" si="39"/>
        <v>-2.2084847316572525</v>
      </c>
      <c r="P71" s="182">
        <f t="shared" si="39"/>
        <v>-2.2084847316572525</v>
      </c>
      <c r="Q71" s="182">
        <f t="shared" si="39"/>
        <v>-2.2084847316572525</v>
      </c>
    </row>
    <row r="72" spans="2:17" s="14" customFormat="1" ht="14.45" hidden="1" customHeight="1" outlineLevel="1" x14ac:dyDescent="0.25">
      <c r="C72" s="6"/>
      <c r="H72" s="31"/>
      <c r="M72" s="31"/>
      <c r="N72" s="31"/>
      <c r="O72" s="31"/>
      <c r="P72" s="31"/>
      <c r="Q72" s="31"/>
    </row>
    <row r="73" spans="2:17" s="14" customFormat="1" collapsed="1" x14ac:dyDescent="0.25">
      <c r="B73" s="14" t="s">
        <v>127</v>
      </c>
      <c r="C73" s="6"/>
      <c r="D73" s="177">
        <f t="shared" ref="D73:Q73" si="40">IF(D378=0,"",D311/D378)</f>
        <v>3.4895488726110444</v>
      </c>
      <c r="E73" s="177">
        <f t="shared" si="40"/>
        <v>4.7994457997464677</v>
      </c>
      <c r="F73" s="177">
        <f t="shared" si="40"/>
        <v>5.7175185370185746</v>
      </c>
      <c r="G73" s="177">
        <f t="shared" si="40"/>
        <v>2.9695780417964275</v>
      </c>
      <c r="H73" s="177">
        <f t="shared" si="40"/>
        <v>2.4148637998773155</v>
      </c>
      <c r="I73" s="177">
        <f t="shared" si="40"/>
        <v>2.4811697320839929</v>
      </c>
      <c r="J73" s="177">
        <f t="shared" si="40"/>
        <v>2.4811052263881939</v>
      </c>
      <c r="K73" s="177">
        <f t="shared" si="40"/>
        <v>2.4810407206923943</v>
      </c>
      <c r="L73" s="177">
        <f t="shared" si="40"/>
        <v>2.4809762149965953</v>
      </c>
      <c r="M73" s="177">
        <f t="shared" si="40"/>
        <v>2.0078205972225831</v>
      </c>
      <c r="N73" s="177">
        <f t="shared" si="40"/>
        <v>1.9209181883984894</v>
      </c>
      <c r="O73" s="177">
        <f t="shared" si="40"/>
        <v>1.9312136857065461</v>
      </c>
      <c r="P73" s="177">
        <f t="shared" si="40"/>
        <v>1.9593244295573469</v>
      </c>
      <c r="Q73" s="177">
        <f t="shared" si="40"/>
        <v>1.9316474223654541</v>
      </c>
    </row>
    <row r="74" spans="2:17" s="14" customFormat="1" ht="14.45" hidden="1" customHeight="1" outlineLevel="1" collapsed="1" x14ac:dyDescent="0.25">
      <c r="B74" s="14" t="s">
        <v>544</v>
      </c>
      <c r="C74" s="6"/>
      <c r="D74" s="178">
        <f t="shared" ref="D74:Q74" si="41">IF(D379=0,"",D312/D379)</f>
        <v>1.3849532499970489</v>
      </c>
      <c r="E74" s="178">
        <f t="shared" si="41"/>
        <v>1.1526518349833039</v>
      </c>
      <c r="F74" s="178">
        <f t="shared" si="41"/>
        <v>0.9019550030028588</v>
      </c>
      <c r="G74" s="178">
        <f t="shared" si="41"/>
        <v>0.96794539661823509</v>
      </c>
      <c r="H74" s="178">
        <f t="shared" si="41"/>
        <v>1.0669980823447038</v>
      </c>
      <c r="I74" s="178">
        <f t="shared" si="41"/>
        <v>1.0672698231355067</v>
      </c>
      <c r="J74" s="178">
        <f t="shared" si="41"/>
        <v>1.1102216903218112</v>
      </c>
      <c r="K74" s="178">
        <f t="shared" si="41"/>
        <v>1.1531735575081161</v>
      </c>
      <c r="L74" s="178">
        <f t="shared" si="41"/>
        <v>1.1961254246944206</v>
      </c>
      <c r="M74" s="178">
        <f t="shared" si="41"/>
        <v>1.3544146051352985</v>
      </c>
      <c r="N74" s="178">
        <f t="shared" si="41"/>
        <v>1.4799571818778963</v>
      </c>
      <c r="O74" s="178">
        <f t="shared" si="41"/>
        <v>1.6452720206917364</v>
      </c>
      <c r="P74" s="178">
        <f t="shared" si="41"/>
        <v>1.8550858632537883</v>
      </c>
      <c r="Q74" s="178">
        <f t="shared" si="41"/>
        <v>2.0035505321964417</v>
      </c>
    </row>
    <row r="75" spans="2:17" s="14" customFormat="1" ht="14.45" hidden="1" customHeight="1" outlineLevel="1" collapsed="1" x14ac:dyDescent="0.25">
      <c r="B75" s="14" t="s">
        <v>545</v>
      </c>
      <c r="C75" s="6"/>
      <c r="D75" s="178">
        <f t="shared" ref="D75:Q75" si="42">IF(D380=0,"",D313/D380)</f>
        <v>0.96844877276164187</v>
      </c>
      <c r="E75" s="178">
        <f t="shared" si="42"/>
        <v>1.0752016701442089</v>
      </c>
      <c r="F75" s="178">
        <f t="shared" si="42"/>
        <v>1.2387394405948393</v>
      </c>
      <c r="G75" s="178">
        <f t="shared" si="42"/>
        <v>1.3585772410094061</v>
      </c>
      <c r="H75" s="178">
        <f t="shared" si="42"/>
        <v>1.3003922503310741</v>
      </c>
      <c r="I75" s="178">
        <f t="shared" si="42"/>
        <v>1.375706488801667</v>
      </c>
      <c r="J75" s="178">
        <f t="shared" si="42"/>
        <v>1.3941284011210946</v>
      </c>
      <c r="K75" s="178">
        <f t="shared" si="42"/>
        <v>1.4125503134405224</v>
      </c>
      <c r="L75" s="178">
        <f t="shared" si="42"/>
        <v>1.4309722257599498</v>
      </c>
      <c r="M75" s="178">
        <f t="shared" si="42"/>
        <v>1.4279612161680248</v>
      </c>
      <c r="N75" s="178">
        <f t="shared" si="42"/>
        <v>1.4668070823611985</v>
      </c>
      <c r="O75" s="178">
        <f t="shared" si="42"/>
        <v>1.5101727411603234</v>
      </c>
      <c r="P75" s="178">
        <f t="shared" si="42"/>
        <v>1.5639745254067754</v>
      </c>
      <c r="Q75" s="178">
        <f t="shared" si="42"/>
        <v>1.6300549905685191</v>
      </c>
    </row>
    <row r="76" spans="2:17" s="14" customFormat="1" ht="14.45" hidden="1" customHeight="1" outlineLevel="1" collapsed="1" x14ac:dyDescent="0.25">
      <c r="B76" s="14" t="s">
        <v>546</v>
      </c>
      <c r="C76" s="6"/>
      <c r="D76" s="178">
        <f t="shared" ref="D76:Q76" si="43">IF(D381=0,"",D314/D381)</f>
        <v>19.665778274454354</v>
      </c>
      <c r="E76" s="178">
        <f t="shared" si="43"/>
        <v>18.946168863808801</v>
      </c>
      <c r="F76" s="178">
        <f t="shared" si="43"/>
        <v>105.31281005537488</v>
      </c>
      <c r="G76" s="178">
        <f t="shared" si="43"/>
        <v>121.9424890204279</v>
      </c>
      <c r="H76" s="178">
        <f t="shared" si="43"/>
        <v>105.3789897113288</v>
      </c>
      <c r="I76" s="178">
        <f t="shared" si="43"/>
        <v>102.50257431307332</v>
      </c>
      <c r="J76" s="178">
        <f t="shared" si="43"/>
        <v>99.626158914817836</v>
      </c>
      <c r="K76" s="178">
        <f t="shared" si="43"/>
        <v>96.749743516562361</v>
      </c>
      <c r="L76" s="178">
        <f t="shared" si="43"/>
        <v>93.873328118306887</v>
      </c>
      <c r="M76" s="178">
        <f t="shared" si="43"/>
        <v>49.12434812852301</v>
      </c>
      <c r="N76" s="178">
        <f t="shared" si="43"/>
        <v>34.133749718551741</v>
      </c>
      <c r="O76" s="178">
        <f t="shared" si="43"/>
        <v>23.378632128123762</v>
      </c>
      <c r="P76" s="178">
        <f t="shared" si="43"/>
        <v>11.994870147118005</v>
      </c>
      <c r="Q76" s="178">
        <f t="shared" si="43"/>
        <v>0.61116367115311721</v>
      </c>
    </row>
    <row r="77" spans="2:17" s="14" customFormat="1" ht="14.45" hidden="1" customHeight="1" outlineLevel="1" x14ac:dyDescent="0.25">
      <c r="C77" s="6"/>
      <c r="H77" s="31"/>
      <c r="M77" s="31"/>
      <c r="N77" s="31"/>
      <c r="O77" s="31"/>
      <c r="P77" s="31"/>
      <c r="Q77" s="31"/>
    </row>
    <row r="78" spans="2:17" s="14" customFormat="1" collapsed="1" x14ac:dyDescent="0.25">
      <c r="B78" s="14" t="s">
        <v>128</v>
      </c>
      <c r="C78" s="6"/>
      <c r="D78" s="177">
        <f t="shared" ref="D78:Q78" si="44">IF(D378=0,"",(D311-D296)/D378)</f>
        <v>2.945065081621864</v>
      </c>
      <c r="E78" s="177">
        <f t="shared" si="44"/>
        <v>4.3973846737202926</v>
      </c>
      <c r="F78" s="177">
        <f t="shared" si="44"/>
        <v>5.1517842583668481</v>
      </c>
      <c r="G78" s="177">
        <f t="shared" si="44"/>
        <v>2.3107229781571523</v>
      </c>
      <c r="H78" s="177">
        <f t="shared" si="44"/>
        <v>1.7799429511936864</v>
      </c>
      <c r="I78" s="177">
        <f t="shared" si="44"/>
        <v>1.8717849453463553</v>
      </c>
      <c r="J78" s="177">
        <f t="shared" si="44"/>
        <v>1.871720439650556</v>
      </c>
      <c r="K78" s="177">
        <f t="shared" si="44"/>
        <v>1.8716559339547569</v>
      </c>
      <c r="L78" s="177">
        <f t="shared" si="44"/>
        <v>1.8715914282589579</v>
      </c>
      <c r="M78" s="177">
        <f t="shared" si="44"/>
        <v>1.2859623389229868</v>
      </c>
      <c r="N78" s="177">
        <f t="shared" si="44"/>
        <v>1.2508157205904873</v>
      </c>
      <c r="O78" s="177">
        <f t="shared" si="44"/>
        <v>1.2618927594950502</v>
      </c>
      <c r="P78" s="177">
        <f t="shared" si="44"/>
        <v>1.309561652299891</v>
      </c>
      <c r="Q78" s="177">
        <f t="shared" si="44"/>
        <v>1.2857795035769448</v>
      </c>
    </row>
    <row r="79" spans="2:17" s="14" customFormat="1" ht="14.45" hidden="1" customHeight="1" outlineLevel="1" collapsed="1" x14ac:dyDescent="0.25">
      <c r="B79" s="14" t="s">
        <v>544</v>
      </c>
      <c r="C79" s="6"/>
      <c r="D79" s="178">
        <f t="shared" ref="D79:Q79" si="45">IF(D379=0,"",(D312-D297)/D379)</f>
        <v>0.74676533764553155</v>
      </c>
      <c r="E79" s="178">
        <f t="shared" si="45"/>
        <v>0.62123259837050371</v>
      </c>
      <c r="F79" s="178">
        <f t="shared" si="45"/>
        <v>0.26494545400035757</v>
      </c>
      <c r="G79" s="178">
        <f t="shared" si="45"/>
        <v>0.30377263480786548</v>
      </c>
      <c r="H79" s="178">
        <f t="shared" si="45"/>
        <v>0.40810478780834175</v>
      </c>
      <c r="I79" s="178">
        <f t="shared" si="45"/>
        <v>0.44193169499428836</v>
      </c>
      <c r="J79" s="178">
        <f t="shared" si="45"/>
        <v>0.48488356218059292</v>
      </c>
      <c r="K79" s="178">
        <f t="shared" si="45"/>
        <v>0.52783542936689776</v>
      </c>
      <c r="L79" s="178">
        <f t="shared" si="45"/>
        <v>0.57078729655320237</v>
      </c>
      <c r="M79" s="178">
        <f t="shared" si="45"/>
        <v>0.61368887839088826</v>
      </c>
      <c r="N79" s="178">
        <f t="shared" si="45"/>
        <v>0.79208328006415873</v>
      </c>
      <c r="O79" s="178">
        <f t="shared" si="45"/>
        <v>0.95762351605187224</v>
      </c>
      <c r="P79" s="178">
        <f t="shared" si="45"/>
        <v>1.1889868279358944</v>
      </c>
      <c r="Q79" s="178">
        <f t="shared" si="45"/>
        <v>1.3426734500167956</v>
      </c>
    </row>
    <row r="80" spans="2:17" s="14" customFormat="1" ht="14.45" hidden="1" customHeight="1" outlineLevel="1" collapsed="1" x14ac:dyDescent="0.25">
      <c r="B80" s="14" t="s">
        <v>545</v>
      </c>
      <c r="C80" s="6"/>
      <c r="D80" s="178">
        <f t="shared" ref="D80:Q80" si="46">IF(D380=0,"",(D313-D298)/D380)</f>
        <v>0.38176018418781082</v>
      </c>
      <c r="E80" s="178">
        <f t="shared" si="46"/>
        <v>0.61113526648534522</v>
      </c>
      <c r="F80" s="178">
        <f t="shared" si="46"/>
        <v>0.72931070604789694</v>
      </c>
      <c r="G80" s="178">
        <f t="shared" si="46"/>
        <v>0.64624300337487472</v>
      </c>
      <c r="H80" s="178">
        <f t="shared" si="46"/>
        <v>0.74979692530123898</v>
      </c>
      <c r="I80" s="178">
        <f t="shared" si="46"/>
        <v>0.80102254835526865</v>
      </c>
      <c r="J80" s="178">
        <f t="shared" si="46"/>
        <v>0.81944446067469634</v>
      </c>
      <c r="K80" s="178">
        <f t="shared" si="46"/>
        <v>0.83786637299412403</v>
      </c>
      <c r="L80" s="178">
        <f t="shared" si="46"/>
        <v>0.85628828531355139</v>
      </c>
      <c r="M80" s="178">
        <f t="shared" si="46"/>
        <v>0.7480601734993737</v>
      </c>
      <c r="N80" s="178">
        <f t="shared" si="46"/>
        <v>0.84236732712195028</v>
      </c>
      <c r="O80" s="178">
        <f t="shared" si="46"/>
        <v>0.88838881248239965</v>
      </c>
      <c r="P80" s="178">
        <f t="shared" si="46"/>
        <v>0.94874350190503343</v>
      </c>
      <c r="Q80" s="178">
        <f t="shared" si="46"/>
        <v>1.0080096778257319</v>
      </c>
    </row>
    <row r="81" spans="1:17" s="14" customFormat="1" ht="14.45" hidden="1" customHeight="1" outlineLevel="1" collapsed="1" x14ac:dyDescent="0.25">
      <c r="B81" s="14" t="s">
        <v>546</v>
      </c>
      <c r="C81" s="6"/>
      <c r="D81" s="178">
        <f t="shared" ref="D81:Q81" si="47">IF(D381=0,"",(D314-D299)/D381)</f>
        <v>19.665778274454354</v>
      </c>
      <c r="E81" s="178">
        <f t="shared" si="47"/>
        <v>18.946168863808801</v>
      </c>
      <c r="F81" s="178">
        <f t="shared" si="47"/>
        <v>105.31281005537488</v>
      </c>
      <c r="G81" s="178">
        <f t="shared" si="47"/>
        <v>121.9424890204279</v>
      </c>
      <c r="H81" s="178">
        <f t="shared" si="47"/>
        <v>105.3789897113288</v>
      </c>
      <c r="I81" s="178">
        <f t="shared" si="47"/>
        <v>102.50257431307332</v>
      </c>
      <c r="J81" s="178">
        <f t="shared" si="47"/>
        <v>99.626158914817836</v>
      </c>
      <c r="K81" s="178">
        <f t="shared" si="47"/>
        <v>96.749743516562361</v>
      </c>
      <c r="L81" s="178">
        <f t="shared" si="47"/>
        <v>93.873328118306887</v>
      </c>
      <c r="M81" s="178">
        <f t="shared" si="47"/>
        <v>49.12434812852301</v>
      </c>
      <c r="N81" s="178">
        <f t="shared" si="47"/>
        <v>34.133749718551741</v>
      </c>
      <c r="O81" s="178">
        <f t="shared" si="47"/>
        <v>23.378632128123762</v>
      </c>
      <c r="P81" s="178">
        <f t="shared" si="47"/>
        <v>11.994870147118005</v>
      </c>
      <c r="Q81" s="178">
        <f t="shared" si="47"/>
        <v>0.61116367115311721</v>
      </c>
    </row>
    <row r="82" spans="1:17" s="14" customFormat="1" ht="14.45" hidden="1" customHeight="1" outlineLevel="1" x14ac:dyDescent="0.25">
      <c r="C82" s="6"/>
      <c r="H82" s="31"/>
      <c r="M82" s="31"/>
      <c r="N82" s="31"/>
      <c r="O82" s="31"/>
      <c r="P82" s="31"/>
      <c r="Q82" s="31"/>
    </row>
    <row r="83" spans="1:17" s="14" customFormat="1" collapsed="1" x14ac:dyDescent="0.25">
      <c r="A83" s="29" t="s">
        <v>125</v>
      </c>
      <c r="C83" s="6"/>
      <c r="H83" s="31"/>
      <c r="M83" s="31"/>
      <c r="N83" s="31"/>
      <c r="O83" s="31"/>
      <c r="P83" s="31"/>
      <c r="Q83" s="31"/>
    </row>
    <row r="84" spans="1:17" s="14" customFormat="1" x14ac:dyDescent="0.25">
      <c r="B84" s="14" t="s">
        <v>133</v>
      </c>
      <c r="C84" s="6"/>
      <c r="D84" s="179">
        <f t="shared" ref="D84:Q84" si="48">IF(D425=0,"",(D353+D383)/D425)</f>
        <v>1.0243413396178027</v>
      </c>
      <c r="E84" s="179">
        <f t="shared" si="48"/>
        <v>1.3325763761096341</v>
      </c>
      <c r="F84" s="179">
        <f t="shared" si="48"/>
        <v>1.6071190976144185</v>
      </c>
      <c r="G84" s="179">
        <f t="shared" si="48"/>
        <v>1.6622780698704334</v>
      </c>
      <c r="H84" s="179">
        <f t="shared" si="48"/>
        <v>1.164674961296607</v>
      </c>
      <c r="I84" s="179">
        <f t="shared" si="48"/>
        <v>1.2462089156885654</v>
      </c>
      <c r="J84" s="179">
        <f t="shared" si="48"/>
        <v>1.2462832320847577</v>
      </c>
      <c r="K84" s="179">
        <f t="shared" si="48"/>
        <v>1.2463575573450427</v>
      </c>
      <c r="L84" s="179">
        <f t="shared" si="48"/>
        <v>1.2464318914710073</v>
      </c>
      <c r="M84" s="179">
        <f t="shared" si="48"/>
        <v>1.1938317571745323</v>
      </c>
      <c r="N84" s="179">
        <f t="shared" si="48"/>
        <v>1.1647687281914041</v>
      </c>
      <c r="O84" s="179">
        <f t="shared" si="48"/>
        <v>1.13199143669705</v>
      </c>
      <c r="P84" s="179">
        <f t="shared" si="48"/>
        <v>1.1173402044149605</v>
      </c>
      <c r="Q84" s="179">
        <f t="shared" si="48"/>
        <v>1.1875136285232384</v>
      </c>
    </row>
    <row r="85" spans="1:17" s="14" customFormat="1" ht="14.45" hidden="1" customHeight="1" outlineLevel="1" x14ac:dyDescent="0.25">
      <c r="B85" s="14" t="s">
        <v>544</v>
      </c>
      <c r="C85" s="6"/>
      <c r="D85" s="180">
        <f t="shared" ref="D85:Q85" si="49">IF(D426=0,"",(D354+D384)/D426)</f>
        <v>0</v>
      </c>
      <c r="E85" s="180">
        <f t="shared" si="49"/>
        <v>0</v>
      </c>
      <c r="F85" s="180">
        <f t="shared" si="49"/>
        <v>1.1186324086098516E-2</v>
      </c>
      <c r="G85" s="180">
        <f t="shared" si="49"/>
        <v>0.12213200826458789</v>
      </c>
      <c r="H85" s="180">
        <f t="shared" si="49"/>
        <v>-4.0803955325369477E-2</v>
      </c>
      <c r="I85" s="180">
        <f t="shared" si="49"/>
        <v>3.280688336468501E-3</v>
      </c>
      <c r="J85" s="180">
        <f t="shared" si="49"/>
        <v>3.1729769728161368E-3</v>
      </c>
      <c r="K85" s="180">
        <f t="shared" si="49"/>
        <v>3.0721135249273343E-3</v>
      </c>
      <c r="L85" s="180">
        <f t="shared" si="49"/>
        <v>2.9774650623845956E-3</v>
      </c>
      <c r="M85" s="180">
        <f t="shared" si="49"/>
        <v>8.4226603121776995E-4</v>
      </c>
      <c r="N85" s="180">
        <f t="shared" si="49"/>
        <v>-1.2070988777300299E-6</v>
      </c>
      <c r="O85" s="180">
        <f t="shared" si="49"/>
        <v>-1.0544011805279106E-6</v>
      </c>
      <c r="P85" s="180">
        <f t="shared" si="49"/>
        <v>0</v>
      </c>
      <c r="Q85" s="180">
        <f t="shared" si="49"/>
        <v>0</v>
      </c>
    </row>
    <row r="86" spans="1:17" s="14" customFormat="1" ht="14.45" hidden="1" customHeight="1" outlineLevel="1" collapsed="1" x14ac:dyDescent="0.25">
      <c r="B86" s="14" t="s">
        <v>545</v>
      </c>
      <c r="C86" s="6"/>
      <c r="D86" s="180">
        <f t="shared" ref="D86:Q86" si="50">IF(D427=0,"",(D355+D385)/D427)</f>
        <v>0</v>
      </c>
      <c r="E86" s="180">
        <f t="shared" si="50"/>
        <v>0</v>
      </c>
      <c r="F86" s="180">
        <f t="shared" si="50"/>
        <v>0.4355348827008898</v>
      </c>
      <c r="G86" s="180">
        <f t="shared" si="50"/>
        <v>-0.20052071173687797</v>
      </c>
      <c r="H86" s="180">
        <f t="shared" si="50"/>
        <v>0.13953850084259145</v>
      </c>
      <c r="I86" s="180">
        <f t="shared" si="50"/>
        <v>0</v>
      </c>
      <c r="J86" s="180">
        <f t="shared" si="50"/>
        <v>0</v>
      </c>
      <c r="K86" s="180">
        <f t="shared" si="50"/>
        <v>0</v>
      </c>
      <c r="L86" s="180">
        <f t="shared" si="50"/>
        <v>0</v>
      </c>
      <c r="M86" s="180">
        <f t="shared" si="50"/>
        <v>0</v>
      </c>
      <c r="N86" s="180">
        <f t="shared" si="50"/>
        <v>0</v>
      </c>
      <c r="O86" s="180">
        <f t="shared" si="50"/>
        <v>0</v>
      </c>
      <c r="P86" s="180">
        <f t="shared" si="50"/>
        <v>0</v>
      </c>
      <c r="Q86" s="180">
        <f t="shared" si="50"/>
        <v>0</v>
      </c>
    </row>
    <row r="87" spans="1:17" s="14" customFormat="1" ht="14.45" hidden="1" customHeight="1" outlineLevel="1" collapsed="1" x14ac:dyDescent="0.25">
      <c r="B87" s="14" t="s">
        <v>546</v>
      </c>
      <c r="C87" s="6"/>
      <c r="D87" s="180">
        <f t="shared" ref="D87:Q87" si="51">IF(D428=0,"",(D356+D386)/D428)</f>
        <v>2.4503110077715808</v>
      </c>
      <c r="E87" s="180">
        <f t="shared" si="51"/>
        <v>3.3287102512523514</v>
      </c>
      <c r="F87" s="180">
        <f t="shared" si="51"/>
        <v>5.0480488678119135</v>
      </c>
      <c r="G87" s="180">
        <f t="shared" si="51"/>
        <v>10.014789566988899</v>
      </c>
      <c r="H87" s="180">
        <f t="shared" si="51"/>
        <v>306.65003675682181</v>
      </c>
      <c r="I87" s="180">
        <f t="shared" si="51"/>
        <v>-39.075234794565596</v>
      </c>
      <c r="J87" s="180">
        <f t="shared" si="51"/>
        <v>-18.367375394860879</v>
      </c>
      <c r="K87" s="180">
        <f t="shared" si="51"/>
        <v>-12.005225152479715</v>
      </c>
      <c r="L87" s="180">
        <f t="shared" si="51"/>
        <v>-8.9166480712168088</v>
      </c>
      <c r="M87" s="180">
        <f t="shared" si="51"/>
        <v>-4.0914512121944124</v>
      </c>
      <c r="N87" s="180">
        <f t="shared" si="51"/>
        <v>-2.5744164561404697</v>
      </c>
      <c r="O87" s="180">
        <f t="shared" si="51"/>
        <v>-1.8416653308444682</v>
      </c>
      <c r="P87" s="180">
        <f t="shared" si="51"/>
        <v>-1.4298771890859727</v>
      </c>
      <c r="Q87" s="180">
        <f t="shared" si="51"/>
        <v>-1.1685875145907638</v>
      </c>
    </row>
    <row r="88" spans="1:17" s="14" customFormat="1" ht="14.45" hidden="1" customHeight="1" outlineLevel="1" collapsed="1" x14ac:dyDescent="0.25">
      <c r="C88" s="6"/>
      <c r="H88" s="31"/>
      <c r="M88" s="31"/>
      <c r="N88" s="31"/>
      <c r="O88" s="31"/>
      <c r="P88" s="31"/>
      <c r="Q88" s="31"/>
    </row>
    <row r="89" spans="1:17" s="14" customFormat="1" collapsed="1" x14ac:dyDescent="0.25">
      <c r="B89" s="14" t="s">
        <v>134</v>
      </c>
      <c r="C89" s="6"/>
      <c r="D89" s="179">
        <f t="shared" ref="D89:Q89" si="52">IF(D425=0,"",(D353+D383-D281)/D425)</f>
        <v>-0.5332070511383753</v>
      </c>
      <c r="E89" s="179">
        <f t="shared" si="52"/>
        <v>-0.49319119047105092</v>
      </c>
      <c r="F89" s="179">
        <f t="shared" si="52"/>
        <v>-0.30159988167229196</v>
      </c>
      <c r="G89" s="179">
        <f t="shared" si="52"/>
        <v>-0.13332637810541997</v>
      </c>
      <c r="H89" s="179">
        <f t="shared" si="52"/>
        <v>-0.23142708026999678</v>
      </c>
      <c r="I89" s="179">
        <f t="shared" si="52"/>
        <v>-0.20245708669884371</v>
      </c>
      <c r="J89" s="179">
        <f t="shared" si="52"/>
        <v>-0.20240952604157422</v>
      </c>
      <c r="K89" s="179">
        <f t="shared" si="52"/>
        <v>-0.2023619597115042</v>
      </c>
      <c r="L89" s="179">
        <f t="shared" si="52"/>
        <v>-0.20231438770761848</v>
      </c>
      <c r="M89" s="179">
        <f t="shared" si="52"/>
        <v>0.30104089698882652</v>
      </c>
      <c r="N89" s="179">
        <f t="shared" si="52"/>
        <v>0.20926574063593437</v>
      </c>
      <c r="O89" s="179">
        <f t="shared" si="52"/>
        <v>0.15741281365328832</v>
      </c>
      <c r="P89" s="179">
        <f t="shared" si="52"/>
        <v>0.10525587065371217</v>
      </c>
      <c r="Q89" s="179">
        <f t="shared" si="52"/>
        <v>0.16723529847546742</v>
      </c>
    </row>
    <row r="90" spans="1:17" s="14" customFormat="1" ht="14.45" hidden="1" customHeight="1" outlineLevel="1" x14ac:dyDescent="0.25">
      <c r="B90" s="14" t="s">
        <v>544</v>
      </c>
      <c r="C90" s="6"/>
      <c r="D90" s="180">
        <f t="shared" ref="D90:Q90" si="53">IF(D426=0,"",(D354+D384-D282)/D426)</f>
        <v>-0.20745005990896012</v>
      </c>
      <c r="E90" s="180">
        <f t="shared" si="53"/>
        <v>-0.10606888206472175</v>
      </c>
      <c r="F90" s="180">
        <f t="shared" si="53"/>
        <v>1.1183787407955541E-2</v>
      </c>
      <c r="G90" s="180">
        <f t="shared" si="53"/>
        <v>7.7956535487997441E-2</v>
      </c>
      <c r="H90" s="180">
        <f t="shared" si="53"/>
        <v>-0.11732752229343338</v>
      </c>
      <c r="I90" s="180">
        <f t="shared" si="53"/>
        <v>-0.10799815941867628</v>
      </c>
      <c r="J90" s="180">
        <f t="shared" si="53"/>
        <v>-0.13728431060878202</v>
      </c>
      <c r="K90" s="180">
        <f t="shared" si="53"/>
        <v>-0.16470854965156753</v>
      </c>
      <c r="L90" s="180">
        <f t="shared" si="53"/>
        <v>-0.19044296698643584</v>
      </c>
      <c r="M90" s="180">
        <f t="shared" si="53"/>
        <v>-0.15388969069242833</v>
      </c>
      <c r="N90" s="180">
        <f t="shared" si="53"/>
        <v>-0.27608450674553403</v>
      </c>
      <c r="O90" s="180">
        <f t="shared" si="53"/>
        <v>-0.35186682299894073</v>
      </c>
      <c r="P90" s="180">
        <f t="shared" si="53"/>
        <v>-0.44113316927686619</v>
      </c>
      <c r="Q90" s="180">
        <f t="shared" si="53"/>
        <v>-0.47899932225469311</v>
      </c>
    </row>
    <row r="91" spans="1:17" s="14" customFormat="1" ht="14.45" hidden="1" customHeight="1" outlineLevel="1" collapsed="1" x14ac:dyDescent="0.25">
      <c r="B91" s="14" t="s">
        <v>545</v>
      </c>
      <c r="C91" s="6"/>
      <c r="D91" s="180">
        <f t="shared" ref="D91:Q91" si="54">IF(D427=0,"",(D355+D385-D283)/D427)</f>
        <v>0</v>
      </c>
      <c r="E91" s="180">
        <f t="shared" si="54"/>
        <v>-3.2895218334083802</v>
      </c>
      <c r="F91" s="180">
        <f t="shared" si="54"/>
        <v>-1.5855602594010323</v>
      </c>
      <c r="G91" s="180">
        <f t="shared" si="54"/>
        <v>-1.1835384878128274</v>
      </c>
      <c r="H91" s="180">
        <f t="shared" si="54"/>
        <v>-1.4751631096111166</v>
      </c>
      <c r="I91" s="180">
        <f t="shared" si="54"/>
        <v>-1.3965329543371243</v>
      </c>
      <c r="J91" s="180">
        <f t="shared" si="54"/>
        <v>-1.3779986510598585</v>
      </c>
      <c r="K91" s="180">
        <f t="shared" si="54"/>
        <v>-1.3611195995119056</v>
      </c>
      <c r="L91" s="180">
        <f t="shared" si="54"/>
        <v>-1.3456835384355692</v>
      </c>
      <c r="M91" s="180">
        <f t="shared" si="54"/>
        <v>-0.91086224091313195</v>
      </c>
      <c r="N91" s="180">
        <f t="shared" si="54"/>
        <v>-1.0454919553978004</v>
      </c>
      <c r="O91" s="180">
        <f t="shared" si="54"/>
        <v>-1.0498479044521882</v>
      </c>
      <c r="P91" s="180">
        <f t="shared" si="54"/>
        <v>-1.0633041106039776</v>
      </c>
      <c r="Q91" s="180">
        <f t="shared" si="54"/>
        <v>-1.0397129701766818</v>
      </c>
    </row>
    <row r="92" spans="1:17" s="14" customFormat="1" ht="14.45" hidden="1" customHeight="1" outlineLevel="1" collapsed="1" x14ac:dyDescent="0.25">
      <c r="B92" s="14" t="s">
        <v>546</v>
      </c>
      <c r="C92" s="6"/>
      <c r="D92" s="180">
        <f t="shared" ref="D92:Q92" si="55">IF(D428=0,"",(D356+D386-D284)/D428)</f>
        <v>-0.98381237079951434</v>
      </c>
      <c r="E92" s="180">
        <f t="shared" si="55"/>
        <v>-0.99512765801854175</v>
      </c>
      <c r="F92" s="180">
        <f t="shared" si="55"/>
        <v>-0.82559505429116875</v>
      </c>
      <c r="G92" s="180">
        <f t="shared" si="55"/>
        <v>-0.98321729167564254</v>
      </c>
      <c r="H92" s="180">
        <f t="shared" si="55"/>
        <v>-14.915043255960526</v>
      </c>
      <c r="I92" s="180">
        <f t="shared" si="55"/>
        <v>0.77314044424649675</v>
      </c>
      <c r="J92" s="180">
        <f t="shared" si="55"/>
        <v>-0.16653255345722753</v>
      </c>
      <c r="K92" s="180">
        <f t="shared" si="55"/>
        <v>-0.45523167366591</v>
      </c>
      <c r="L92" s="180">
        <f t="shared" si="55"/>
        <v>-0.59538389454832286</v>
      </c>
      <c r="M92" s="180">
        <f t="shared" si="55"/>
        <v>-1.8757962515157078</v>
      </c>
      <c r="N92" s="180">
        <f t="shared" si="55"/>
        <v>-1.4656256532990704</v>
      </c>
      <c r="O92" s="180">
        <f t="shared" si="55"/>
        <v>-1.2656897981181798</v>
      </c>
      <c r="P92" s="180">
        <f t="shared" si="55"/>
        <v>-1.2062827460230479</v>
      </c>
      <c r="Q92" s="180">
        <f t="shared" si="55"/>
        <v>-1.1685875145907638</v>
      </c>
    </row>
    <row r="93" spans="1:17" s="14" customFormat="1" ht="14.45" hidden="1" customHeight="1" outlineLevel="1" collapsed="1" x14ac:dyDescent="0.25">
      <c r="C93" s="6"/>
      <c r="H93" s="31"/>
      <c r="M93" s="31"/>
      <c r="N93" s="31"/>
      <c r="O93" s="31"/>
      <c r="P93" s="31"/>
      <c r="Q93" s="31"/>
    </row>
    <row r="94" spans="1:17" s="14" customFormat="1" collapsed="1" x14ac:dyDescent="0.25">
      <c r="B94" s="14" t="s">
        <v>150</v>
      </c>
      <c r="C94" s="6"/>
      <c r="D94" s="179">
        <f t="shared" ref="D94:Q94" si="56">IF(D425=0,"",D383/D425)</f>
        <v>1.0243413396178027</v>
      </c>
      <c r="E94" s="179">
        <f t="shared" si="56"/>
        <v>1.3325763761096341</v>
      </c>
      <c r="F94" s="179">
        <f t="shared" si="56"/>
        <v>1.593521585567486</v>
      </c>
      <c r="G94" s="179">
        <f t="shared" si="56"/>
        <v>1.5759534943609892</v>
      </c>
      <c r="H94" s="179">
        <f t="shared" si="56"/>
        <v>1.2009415530505134</v>
      </c>
      <c r="I94" s="179">
        <f t="shared" si="56"/>
        <v>1.2462089156885654</v>
      </c>
      <c r="J94" s="179">
        <f t="shared" si="56"/>
        <v>1.2462832320847577</v>
      </c>
      <c r="K94" s="179">
        <f t="shared" si="56"/>
        <v>1.2463575573450427</v>
      </c>
      <c r="L94" s="179">
        <f t="shared" si="56"/>
        <v>1.2464318914710073</v>
      </c>
      <c r="M94" s="179">
        <f t="shared" si="56"/>
        <v>1.1938317571745323</v>
      </c>
      <c r="N94" s="179">
        <f t="shared" si="56"/>
        <v>1.1647687281914041</v>
      </c>
      <c r="O94" s="179">
        <f t="shared" si="56"/>
        <v>1.13199143669705</v>
      </c>
      <c r="P94" s="179">
        <f t="shared" si="56"/>
        <v>1.1173402044149605</v>
      </c>
      <c r="Q94" s="179">
        <f t="shared" si="56"/>
        <v>1.1875136285232384</v>
      </c>
    </row>
    <row r="95" spans="1:17" s="14" customFormat="1" ht="14.45" hidden="1" customHeight="1" outlineLevel="1" x14ac:dyDescent="0.25">
      <c r="B95" s="14" t="s">
        <v>544</v>
      </c>
      <c r="C95" s="6"/>
      <c r="D95" s="180">
        <f t="shared" ref="D95:Q95" si="57">IF(D426=0,"",D384/D426)</f>
        <v>0</v>
      </c>
      <c r="E95" s="180">
        <f t="shared" si="57"/>
        <v>0</v>
      </c>
      <c r="F95" s="180">
        <f t="shared" si="57"/>
        <v>1.1186324086098516E-2</v>
      </c>
      <c r="G95" s="180">
        <f t="shared" si="57"/>
        <v>6.4166541565654107E-3</v>
      </c>
      <c r="H95" s="180">
        <f t="shared" si="57"/>
        <v>3.2463759274829417E-3</v>
      </c>
      <c r="I95" s="180">
        <f t="shared" si="57"/>
        <v>3.280688336468501E-3</v>
      </c>
      <c r="J95" s="180">
        <f t="shared" si="57"/>
        <v>3.1729769728161368E-3</v>
      </c>
      <c r="K95" s="180">
        <f t="shared" si="57"/>
        <v>3.0721135249273343E-3</v>
      </c>
      <c r="L95" s="180">
        <f t="shared" si="57"/>
        <v>2.9774650623845956E-3</v>
      </c>
      <c r="M95" s="180">
        <f t="shared" si="57"/>
        <v>8.4226603121776995E-4</v>
      </c>
      <c r="N95" s="180">
        <f t="shared" si="57"/>
        <v>-1.2070988777300299E-6</v>
      </c>
      <c r="O95" s="180">
        <f t="shared" si="57"/>
        <v>-1.0544011805279106E-6</v>
      </c>
      <c r="P95" s="180">
        <f t="shared" si="57"/>
        <v>0</v>
      </c>
      <c r="Q95" s="180">
        <f t="shared" si="57"/>
        <v>0</v>
      </c>
    </row>
    <row r="96" spans="1:17" s="14" customFormat="1" ht="14.45" hidden="1" customHeight="1" outlineLevel="1" collapsed="1" x14ac:dyDescent="0.25">
      <c r="B96" s="14" t="s">
        <v>545</v>
      </c>
      <c r="C96" s="6"/>
      <c r="D96" s="180">
        <f t="shared" ref="D96:Q96" si="58">IF(D427=0,"",D385/D427)</f>
        <v>0</v>
      </c>
      <c r="E96" s="180">
        <f t="shared" si="58"/>
        <v>0</v>
      </c>
      <c r="F96" s="180">
        <f t="shared" si="58"/>
        <v>0</v>
      </c>
      <c r="G96" s="180">
        <f t="shared" si="58"/>
        <v>0</v>
      </c>
      <c r="H96" s="180">
        <f t="shared" si="58"/>
        <v>0</v>
      </c>
      <c r="I96" s="180">
        <f t="shared" si="58"/>
        <v>0</v>
      </c>
      <c r="J96" s="180">
        <f t="shared" si="58"/>
        <v>0</v>
      </c>
      <c r="K96" s="180">
        <f t="shared" si="58"/>
        <v>0</v>
      </c>
      <c r="L96" s="180">
        <f t="shared" si="58"/>
        <v>0</v>
      </c>
      <c r="M96" s="180">
        <f t="shared" si="58"/>
        <v>0</v>
      </c>
      <c r="N96" s="180">
        <f t="shared" si="58"/>
        <v>0</v>
      </c>
      <c r="O96" s="180">
        <f t="shared" si="58"/>
        <v>0</v>
      </c>
      <c r="P96" s="180">
        <f t="shared" si="58"/>
        <v>0</v>
      </c>
      <c r="Q96" s="180">
        <f t="shared" si="58"/>
        <v>0</v>
      </c>
    </row>
    <row r="97" spans="1:18" s="14" customFormat="1" ht="14.45" hidden="1" customHeight="1" outlineLevel="1" collapsed="1" x14ac:dyDescent="0.25">
      <c r="B97" s="14" t="s">
        <v>546</v>
      </c>
      <c r="C97" s="6"/>
      <c r="D97" s="180">
        <f t="shared" ref="D97:Q97" si="59">IF(D428=0,"",D386/D428)</f>
        <v>2.4503110077715808</v>
      </c>
      <c r="E97" s="180">
        <f t="shared" si="59"/>
        <v>3.3287102512523514</v>
      </c>
      <c r="F97" s="180">
        <f t="shared" si="59"/>
        <v>5.0480488678119135</v>
      </c>
      <c r="G97" s="180">
        <f t="shared" si="59"/>
        <v>10.014789566988899</v>
      </c>
      <c r="H97" s="180">
        <f t="shared" si="59"/>
        <v>306.65003675682181</v>
      </c>
      <c r="I97" s="180">
        <f t="shared" si="59"/>
        <v>-39.075234794565596</v>
      </c>
      <c r="J97" s="180">
        <f t="shared" si="59"/>
        <v>-18.367375394860879</v>
      </c>
      <c r="K97" s="180">
        <f t="shared" si="59"/>
        <v>-12.005225152479715</v>
      </c>
      <c r="L97" s="180">
        <f t="shared" si="59"/>
        <v>-8.9166480712168088</v>
      </c>
      <c r="M97" s="180">
        <f t="shared" si="59"/>
        <v>-4.0914512121944124</v>
      </c>
      <c r="N97" s="180">
        <f t="shared" si="59"/>
        <v>-2.5744164561404697</v>
      </c>
      <c r="O97" s="180">
        <f t="shared" si="59"/>
        <v>-1.8416653308444682</v>
      </c>
      <c r="P97" s="180">
        <f t="shared" si="59"/>
        <v>-1.4298771890859727</v>
      </c>
      <c r="Q97" s="180">
        <f t="shared" si="59"/>
        <v>-1.1685875145907638</v>
      </c>
    </row>
    <row r="98" spans="1:18" s="14" customFormat="1" ht="14.45" hidden="1" customHeight="1" outlineLevel="1" collapsed="1" x14ac:dyDescent="0.25">
      <c r="C98" s="6"/>
      <c r="H98" s="31"/>
      <c r="M98" s="31"/>
      <c r="N98" s="31"/>
      <c r="O98" s="31"/>
      <c r="P98" s="31"/>
      <c r="Q98" s="31"/>
    </row>
    <row r="99" spans="1:18" s="14" customFormat="1" collapsed="1" x14ac:dyDescent="0.25">
      <c r="B99" s="14" t="s">
        <v>135</v>
      </c>
      <c r="C99" s="6"/>
      <c r="D99" s="179">
        <f>IF(D353+D383+D425=0,"",(D353+D383)/(D353+D383+D425))</f>
        <v>0.50601216285549899</v>
      </c>
      <c r="E99" s="179">
        <f t="shared" ref="E99:Q99" si="60">IF(E435=0,"",(E363+E393)/E435)</f>
        <v>1.7760076641956615</v>
      </c>
      <c r="F99" s="179">
        <f t="shared" si="60"/>
        <v>1.8741837081273116</v>
      </c>
      <c r="G99" s="179">
        <f t="shared" si="60"/>
        <v>2.2957345243604546</v>
      </c>
      <c r="H99" s="179">
        <f t="shared" si="60"/>
        <v>1.977667864630315</v>
      </c>
      <c r="I99" s="179">
        <f t="shared" si="60"/>
        <v>1.9861276464546502</v>
      </c>
      <c r="J99" s="179">
        <f t="shared" si="60"/>
        <v>1.986236019207597</v>
      </c>
      <c r="K99" s="179">
        <f t="shared" si="60"/>
        <v>1.9863444037878735</v>
      </c>
      <c r="L99" s="179">
        <f t="shared" si="60"/>
        <v>1.9864528001974178</v>
      </c>
      <c r="M99" s="179">
        <f t="shared" si="60"/>
        <v>1.9792514058488901</v>
      </c>
      <c r="N99" s="179">
        <f t="shared" si="60"/>
        <v>2.0219271161263026</v>
      </c>
      <c r="O99" s="179">
        <f t="shared" si="60"/>
        <v>1.963353917234417</v>
      </c>
      <c r="P99" s="179">
        <f t="shared" si="60"/>
        <v>1.9279849211687865</v>
      </c>
      <c r="Q99" s="179">
        <f t="shared" si="60"/>
        <v>2.0041723508632785</v>
      </c>
    </row>
    <row r="100" spans="1:18" s="14" customFormat="1" ht="14.45" hidden="1" customHeight="1" outlineLevel="1" x14ac:dyDescent="0.25">
      <c r="B100" s="14" t="s">
        <v>544</v>
      </c>
      <c r="C100" s="6"/>
      <c r="D100" s="180">
        <f>IF(D436=0,"",(D364+D394)/D436)</f>
        <v>0.5830141443449931</v>
      </c>
      <c r="E100" s="180">
        <f t="shared" ref="E100:Q100" si="61">IF(E436=0,"",(E364+E394)/E436)</f>
        <v>0.37678251206253877</v>
      </c>
      <c r="F100" s="180">
        <f t="shared" si="61"/>
        <v>0.38302749286971433</v>
      </c>
      <c r="G100" s="180">
        <f t="shared" si="61"/>
        <v>0.95482112743479575</v>
      </c>
      <c r="H100" s="180">
        <f t="shared" si="61"/>
        <v>0.84517505230987344</v>
      </c>
      <c r="I100" s="180">
        <f t="shared" si="61"/>
        <v>0.79361812821578259</v>
      </c>
      <c r="J100" s="180">
        <f t="shared" si="61"/>
        <v>0.76756210519794987</v>
      </c>
      <c r="K100" s="180">
        <f t="shared" si="61"/>
        <v>0.74316263395617133</v>
      </c>
      <c r="L100" s="180">
        <f t="shared" si="61"/>
        <v>0.72026660483731664</v>
      </c>
      <c r="M100" s="180">
        <f t="shared" si="61"/>
        <v>0.67919491412074529</v>
      </c>
      <c r="N100" s="180">
        <f t="shared" si="61"/>
        <v>0.68150329184055536</v>
      </c>
      <c r="O100" s="180">
        <f t="shared" si="61"/>
        <v>0.61680180196665757</v>
      </c>
      <c r="P100" s="180">
        <f t="shared" si="61"/>
        <v>0.54209853969680777</v>
      </c>
      <c r="Q100" s="180">
        <f t="shared" si="61"/>
        <v>0.49344522118836653</v>
      </c>
    </row>
    <row r="101" spans="1:18" s="14" customFormat="1" ht="14.45" hidden="1" customHeight="1" outlineLevel="1" collapsed="1" x14ac:dyDescent="0.25">
      <c r="B101" s="14" t="s">
        <v>545</v>
      </c>
      <c r="C101" s="6"/>
      <c r="D101" s="180">
        <f>IF(D437=0,"",(D365+D395)/D437)</f>
        <v>-31.69448821896404</v>
      </c>
      <c r="E101" s="180">
        <f t="shared" ref="E101:Q101" si="62">IF(E437=0,"",(E365+E395)/E437)</f>
        <v>13.297577009691022</v>
      </c>
      <c r="F101" s="180">
        <f t="shared" si="62"/>
        <v>4.1886669312302018</v>
      </c>
      <c r="G101" s="180">
        <f t="shared" si="62"/>
        <v>2.788799415113377</v>
      </c>
      <c r="H101" s="180">
        <f t="shared" si="62"/>
        <v>3.3289806874107475</v>
      </c>
      <c r="I101" s="180">
        <f t="shared" si="62"/>
        <v>2.6616521934171167</v>
      </c>
      <c r="J101" s="180">
        <f t="shared" si="62"/>
        <v>2.5372442005080309</v>
      </c>
      <c r="K101" s="180">
        <f t="shared" si="62"/>
        <v>2.4239467706626066</v>
      </c>
      <c r="L101" s="180">
        <f t="shared" si="62"/>
        <v>2.3203351404760753</v>
      </c>
      <c r="M101" s="180">
        <f t="shared" si="62"/>
        <v>2.3366603379484365</v>
      </c>
      <c r="N101" s="180">
        <f t="shared" si="62"/>
        <v>2.1422125708586321</v>
      </c>
      <c r="O101" s="180">
        <f t="shared" si="62"/>
        <v>1.9601204049546559</v>
      </c>
      <c r="P101" s="180">
        <f t="shared" si="62"/>
        <v>1.7731297336147129</v>
      </c>
      <c r="Q101" s="180">
        <f t="shared" si="62"/>
        <v>1.5871630492088753</v>
      </c>
    </row>
    <row r="102" spans="1:18" s="14" customFormat="1" ht="14.45" hidden="1" customHeight="1" outlineLevel="1" collapsed="1" x14ac:dyDescent="0.25">
      <c r="B102" s="14" t="s">
        <v>546</v>
      </c>
      <c r="C102" s="6"/>
      <c r="D102" s="180">
        <f>IF(D438=0,"",(D366+D396)/D438)</f>
        <v>2.5707816656314639</v>
      </c>
      <c r="E102" s="180">
        <f t="shared" ref="E102:Q102" si="63">IF(E438=0,"",(E366+E396)/E438)</f>
        <v>3.401683730895968</v>
      </c>
      <c r="F102" s="180">
        <f t="shared" si="63"/>
        <v>4.2938032355815272</v>
      </c>
      <c r="G102" s="180">
        <f t="shared" si="63"/>
        <v>7.0030203638242208</v>
      </c>
      <c r="H102" s="180">
        <f t="shared" si="63"/>
        <v>12.949713418963981</v>
      </c>
      <c r="I102" s="180">
        <f t="shared" si="63"/>
        <v>20.552608721935204</v>
      </c>
      <c r="J102" s="180">
        <f t="shared" si="63"/>
        <v>49.777341811026538</v>
      </c>
      <c r="K102" s="180">
        <f t="shared" si="63"/>
        <v>-117.97042871463981</v>
      </c>
      <c r="L102" s="180">
        <f t="shared" si="63"/>
        <v>-26.995753688579587</v>
      </c>
      <c r="M102" s="180">
        <f t="shared" si="63"/>
        <v>-6.4543932302063807</v>
      </c>
      <c r="N102" s="180">
        <f t="shared" si="63"/>
        <v>-3.57732779569066</v>
      </c>
      <c r="O102" s="180">
        <f t="shared" si="63"/>
        <v>-2.433570562647251</v>
      </c>
      <c r="P102" s="180">
        <f t="shared" si="63"/>
        <v>-1.7693670735407876</v>
      </c>
      <c r="Q102" s="180">
        <f t="shared" si="63"/>
        <v>-1.3899929608425947</v>
      </c>
    </row>
    <row r="103" spans="1:18" s="14" customFormat="1" ht="14.45" hidden="1" customHeight="1" outlineLevel="1" collapsed="1" x14ac:dyDescent="0.25">
      <c r="C103" s="6"/>
      <c r="H103" s="31"/>
      <c r="M103" s="31"/>
      <c r="N103" s="31"/>
      <c r="O103" s="31"/>
      <c r="P103" s="31"/>
      <c r="Q103" s="31"/>
    </row>
    <row r="104" spans="1:18" s="14" customFormat="1" collapsed="1" x14ac:dyDescent="0.25">
      <c r="B104" s="14" t="s">
        <v>136</v>
      </c>
      <c r="C104" s="6"/>
      <c r="D104" s="179">
        <f t="shared" ref="D104:Q104" si="64">IF(D358+D388+D430=0,"",(D358+D388-D281)/(D358+D388+D430))</f>
        <v>-2.0604100748780572</v>
      </c>
      <c r="E104" s="179">
        <f t="shared" si="64"/>
        <v>-4.34471925016258</v>
      </c>
      <c r="F104" s="179">
        <f t="shared" si="64"/>
        <v>-4.0403146258867695</v>
      </c>
      <c r="G104" s="179">
        <f t="shared" si="64"/>
        <v>-1.2620320827530003</v>
      </c>
      <c r="H104" s="179">
        <f t="shared" si="64"/>
        <v>-0.41823386436750126</v>
      </c>
      <c r="I104" s="179">
        <f t="shared" si="64"/>
        <v>-0.56651924448412316</v>
      </c>
      <c r="J104" s="179">
        <f t="shared" si="64"/>
        <v>-0.56645864864995887</v>
      </c>
      <c r="K104" s="179">
        <f t="shared" si="64"/>
        <v>-0.56639805281579503</v>
      </c>
      <c r="L104" s="179">
        <f t="shared" si="64"/>
        <v>-0.56633745698163118</v>
      </c>
      <c r="M104" s="179">
        <f t="shared" si="64"/>
        <v>6.0446927909399553E-2</v>
      </c>
      <c r="N104" s="179">
        <f t="shared" si="64"/>
        <v>9.2349242887355187E-2</v>
      </c>
      <c r="O104" s="179">
        <f t="shared" si="64"/>
        <v>7.9320906686843051E-2</v>
      </c>
      <c r="P104" s="179">
        <f t="shared" si="64"/>
        <v>2.5330780784181842E-2</v>
      </c>
      <c r="Q104" s="179">
        <f t="shared" si="64"/>
        <v>4.3920265091746874E-2</v>
      </c>
    </row>
    <row r="105" spans="1:18" s="14" customFormat="1" ht="14.45" hidden="1" customHeight="1" outlineLevel="1" x14ac:dyDescent="0.25">
      <c r="B105" s="14" t="s">
        <v>544</v>
      </c>
      <c r="C105" s="6"/>
      <c r="D105" s="180">
        <f t="shared" ref="D105:Q105" si="65">IF(D359+D389+D431=0,"",(D359+D389-D282)/(D359+D389+D431))</f>
        <v>0.62820938593909359</v>
      </c>
      <c r="E105" s="180">
        <f t="shared" si="65"/>
        <v>0.69557930444348304</v>
      </c>
      <c r="F105" s="180">
        <f t="shared" si="65"/>
        <v>0.99999283152156526</v>
      </c>
      <c r="G105" s="180">
        <f t="shared" si="65"/>
        <v>0.94618938954602005</v>
      </c>
      <c r="H105" s="180">
        <f t="shared" si="65"/>
        <v>0.91280241464497991</v>
      </c>
      <c r="I105" s="180">
        <f t="shared" si="65"/>
        <v>0.85767381839348689</v>
      </c>
      <c r="J105" s="180">
        <f t="shared" si="65"/>
        <v>0.81425612155633109</v>
      </c>
      <c r="K105" s="180">
        <f t="shared" si="65"/>
        <v>0.77083842471917507</v>
      </c>
      <c r="L105" s="180">
        <f t="shared" si="65"/>
        <v>0.72742072788201917</v>
      </c>
      <c r="M105" s="180">
        <f t="shared" si="65"/>
        <v>0.76943928589582788</v>
      </c>
      <c r="N105" s="180">
        <f t="shared" si="65"/>
        <v>0.59055446617154339</v>
      </c>
      <c r="O105" s="180">
        <f t="shared" si="65"/>
        <v>0.4232365907459224</v>
      </c>
      <c r="P105" s="180">
        <f t="shared" si="65"/>
        <v>0.17710498222186818</v>
      </c>
      <c r="Q105" s="180">
        <f t="shared" si="65"/>
        <v>1.7997542148707493E-2</v>
      </c>
    </row>
    <row r="106" spans="1:18" s="14" customFormat="1" ht="14.45" hidden="1" customHeight="1" outlineLevel="1" collapsed="1" x14ac:dyDescent="0.25">
      <c r="B106" s="14" t="s">
        <v>545</v>
      </c>
      <c r="C106" s="6"/>
      <c r="D106" s="180">
        <f t="shared" ref="D106:Q106" si="66">IF(D360+D390+D432=0,"",(D360+D390-D283)/(D360+D390+D432))</f>
        <v>1</v>
      </c>
      <c r="E106" s="180">
        <f t="shared" si="66"/>
        <v>0.69366662096227216</v>
      </c>
      <c r="F106" s="180">
        <f t="shared" si="66"/>
        <v>0.36599523415060886</v>
      </c>
      <c r="G106" s="180">
        <f t="shared" si="66"/>
        <v>0.62031657258105921</v>
      </c>
      <c r="H106" s="180">
        <f t="shared" si="66"/>
        <v>0.44313730318011163</v>
      </c>
      <c r="I106" s="180">
        <f t="shared" si="66"/>
        <v>0.42287423092321058</v>
      </c>
      <c r="J106" s="180">
        <f t="shared" si="66"/>
        <v>0.40261115866630959</v>
      </c>
      <c r="K106" s="180">
        <f t="shared" si="66"/>
        <v>0.38234808640940854</v>
      </c>
      <c r="L106" s="180">
        <f t="shared" si="66"/>
        <v>0.36208501415250749</v>
      </c>
      <c r="M106" s="180">
        <f t="shared" si="66"/>
        <v>0.57073087875884687</v>
      </c>
      <c r="N106" s="180">
        <f t="shared" si="66"/>
        <v>0.45662312951019823</v>
      </c>
      <c r="O106" s="180">
        <f t="shared" si="66"/>
        <v>0.40112290319721255</v>
      </c>
      <c r="P106" s="180">
        <f t="shared" si="66"/>
        <v>0.33031482349179614</v>
      </c>
      <c r="Q106" s="180">
        <f t="shared" si="66"/>
        <v>0.26750012625501696</v>
      </c>
    </row>
    <row r="107" spans="1:18" s="14" customFormat="1" ht="14.45" hidden="1" customHeight="1" outlineLevel="1" collapsed="1" x14ac:dyDescent="0.25">
      <c r="B107" s="14" t="s">
        <v>546</v>
      </c>
      <c r="C107" s="6"/>
      <c r="D107" s="180">
        <f t="shared" ref="D107:Q107" si="67">IF(D361+D391+D433=0,"",(D361+D391-D284)/(D361+D391+D433))</f>
        <v>-49.885320259921095</v>
      </c>
      <c r="E107" s="180">
        <f t="shared" si="67"/>
        <v>-45.673293099495645</v>
      </c>
      <c r="F107" s="180">
        <f t="shared" si="67"/>
        <v>-31.120250414159909</v>
      </c>
      <c r="G107" s="180">
        <f t="shared" si="67"/>
        <v>-24.825004245061809</v>
      </c>
      <c r="H107" s="180">
        <f t="shared" si="67"/>
        <v>-14.031363487022512</v>
      </c>
      <c r="I107" s="180">
        <f t="shared" si="67"/>
        <v>-13.645298403894394</v>
      </c>
      <c r="J107" s="180">
        <f t="shared" si="67"/>
        <v>-13.259233320766276</v>
      </c>
      <c r="K107" s="180">
        <f t="shared" si="67"/>
        <v>-12.873168237638158</v>
      </c>
      <c r="L107" s="180">
        <f t="shared" si="67"/>
        <v>-12.487103154510038</v>
      </c>
      <c r="M107" s="180">
        <f t="shared" si="67"/>
        <v>-6.1717071860593684</v>
      </c>
      <c r="N107" s="180">
        <f t="shared" si="67"/>
        <v>-4.0900504016667512</v>
      </c>
      <c r="O107" s="180">
        <f t="shared" si="67"/>
        <v>-2.4738080803896527</v>
      </c>
      <c r="P107" s="180">
        <f t="shared" si="67"/>
        <v>-1.2369010247339978</v>
      </c>
      <c r="Q107" s="180">
        <f t="shared" si="67"/>
        <v>0</v>
      </c>
    </row>
    <row r="108" spans="1:18" s="14" customFormat="1" ht="14.45" hidden="1" customHeight="1" outlineLevel="1" collapsed="1" x14ac:dyDescent="0.25">
      <c r="C108" s="6"/>
      <c r="H108" s="31"/>
      <c r="M108" s="31"/>
      <c r="N108" s="31"/>
      <c r="O108" s="31"/>
      <c r="P108" s="31"/>
      <c r="Q108" s="31"/>
    </row>
    <row r="109" spans="1:18" s="14" customFormat="1" collapsed="1" x14ac:dyDescent="0.25">
      <c r="C109" s="6"/>
      <c r="H109" s="31"/>
      <c r="M109" s="31"/>
      <c r="N109" s="31"/>
      <c r="O109" s="31"/>
      <c r="P109" s="31"/>
      <c r="Q109" s="31"/>
    </row>
    <row r="110" spans="1:18" s="14" customFormat="1" x14ac:dyDescent="0.25">
      <c r="B110" s="14" t="s">
        <v>151</v>
      </c>
      <c r="C110" s="6"/>
      <c r="H110" s="31"/>
      <c r="M110" s="31"/>
      <c r="N110" s="31"/>
      <c r="O110" s="31"/>
      <c r="P110" s="31"/>
      <c r="Q110" s="31"/>
    </row>
    <row r="111" spans="1:18" s="14" customFormat="1" ht="15.75" thickBot="1" x14ac:dyDescent="0.3">
      <c r="A111" s="203"/>
      <c r="B111" s="203"/>
      <c r="C111" s="204"/>
      <c r="D111" s="203"/>
      <c r="E111" s="203"/>
      <c r="F111" s="203"/>
      <c r="G111" s="203"/>
      <c r="H111" s="205"/>
      <c r="I111" s="203"/>
      <c r="J111" s="203"/>
      <c r="K111" s="203"/>
      <c r="L111" s="203"/>
      <c r="M111" s="205"/>
      <c r="N111" s="205"/>
      <c r="O111" s="205"/>
      <c r="P111" s="205"/>
      <c r="Q111" s="205"/>
      <c r="R111" s="203"/>
    </row>
    <row r="112" spans="1:18" s="14" customFormat="1" ht="15.75" thickTop="1" x14ac:dyDescent="0.25">
      <c r="C112" s="6"/>
      <c r="F112" s="35"/>
      <c r="H112" s="31"/>
      <c r="M112" s="31"/>
      <c r="N112" s="31"/>
      <c r="O112" s="31"/>
      <c r="P112" s="31"/>
      <c r="Q112" s="31"/>
    </row>
    <row r="113" spans="1:17" s="14" customFormat="1" x14ac:dyDescent="0.25">
      <c r="A113" s="31" t="s">
        <v>155</v>
      </c>
      <c r="C113" s="6"/>
      <c r="H113" s="31"/>
      <c r="M113" s="31"/>
      <c r="N113" s="31"/>
      <c r="O113" s="31"/>
      <c r="P113" s="31"/>
      <c r="Q113" s="31"/>
    </row>
    <row r="114" spans="1:17" s="14" customFormat="1" x14ac:dyDescent="0.25">
      <c r="B114" s="208" t="s">
        <v>160</v>
      </c>
      <c r="C114" s="6"/>
      <c r="D114" s="209">
        <f>D274</f>
        <v>-32956.587</v>
      </c>
      <c r="E114" s="209">
        <f t="shared" ref="E114:Q114" si="68">E274</f>
        <v>-89267.747000000003</v>
      </c>
      <c r="F114" s="209">
        <f t="shared" si="68"/>
        <v>-15578.971999999998</v>
      </c>
      <c r="G114" s="209">
        <f t="shared" si="68"/>
        <v>-3334.5720013744553</v>
      </c>
      <c r="H114" s="209">
        <f t="shared" si="68"/>
        <v>6753.128038145398</v>
      </c>
      <c r="I114" s="209">
        <f t="shared" si="68"/>
        <v>-546.19211092390378</v>
      </c>
      <c r="J114" s="209">
        <f t="shared" si="68"/>
        <v>-546.19211092390378</v>
      </c>
      <c r="K114" s="209">
        <f t="shared" si="68"/>
        <v>-546.19211092390378</v>
      </c>
      <c r="L114" s="209">
        <f t="shared" si="68"/>
        <v>-546.19211092390378</v>
      </c>
      <c r="M114" s="209">
        <f t="shared" si="68"/>
        <v>2204.105769304384</v>
      </c>
      <c r="N114" s="209">
        <f t="shared" si="68"/>
        <v>6749.4825934563487</v>
      </c>
      <c r="O114" s="209">
        <f t="shared" si="68"/>
        <v>7127.2799606326334</v>
      </c>
      <c r="P114" s="209">
        <f t="shared" si="68"/>
        <v>5512.3952097686524</v>
      </c>
      <c r="Q114" s="209">
        <f t="shared" si="68"/>
        <v>-6592.5224465525935</v>
      </c>
    </row>
    <row r="115" spans="1:17" s="14" customFormat="1" ht="14.45" hidden="1" customHeight="1" outlineLevel="1" x14ac:dyDescent="0.25">
      <c r="B115" s="215" t="s">
        <v>544</v>
      </c>
      <c r="C115" s="6"/>
      <c r="D115" s="214">
        <f t="shared" ref="D115:Q115" si="69">D275</f>
        <v>-26209.611000000004</v>
      </c>
      <c r="E115" s="214">
        <f t="shared" si="69"/>
        <v>-38978.47</v>
      </c>
      <c r="F115" s="214">
        <f t="shared" si="69"/>
        <v>-21966.055</v>
      </c>
      <c r="G115" s="214">
        <f t="shared" si="69"/>
        <v>3845.1459986255413</v>
      </c>
      <c r="H115" s="214">
        <f t="shared" si="69"/>
        <v>17829.627575096412</v>
      </c>
      <c r="I115" s="214">
        <f t="shared" si="69"/>
        <v>4464.1306884899604</v>
      </c>
      <c r="J115" s="214">
        <f t="shared" si="69"/>
        <v>4464.1306884899604</v>
      </c>
      <c r="K115" s="214">
        <f t="shared" si="69"/>
        <v>4464.1306884899604</v>
      </c>
      <c r="L115" s="214">
        <f t="shared" si="69"/>
        <v>4464.1306884899604</v>
      </c>
      <c r="M115" s="214">
        <f t="shared" si="69"/>
        <v>17359.456599959842</v>
      </c>
      <c r="N115" s="214">
        <f t="shared" si="69"/>
        <v>23624.365157854954</v>
      </c>
      <c r="O115" s="214">
        <f t="shared" si="69"/>
        <v>25080.493248299703</v>
      </c>
      <c r="P115" s="214">
        <f t="shared" si="69"/>
        <v>23486.961708435723</v>
      </c>
      <c r="Q115" s="214">
        <f t="shared" si="69"/>
        <v>11382.044052114477</v>
      </c>
    </row>
    <row r="116" spans="1:17" s="14" customFormat="1" ht="14.45" hidden="1" customHeight="1" outlineLevel="1" x14ac:dyDescent="0.25">
      <c r="B116" s="215" t="s">
        <v>545</v>
      </c>
      <c r="C116" s="6"/>
      <c r="D116" s="214">
        <f t="shared" ref="D116:Q116" si="70">D276</f>
        <v>-345.91100000000051</v>
      </c>
      <c r="E116" s="214">
        <f t="shared" si="70"/>
        <v>5908.0159999999996</v>
      </c>
      <c r="F116" s="214">
        <f t="shared" si="70"/>
        <v>2817.1720000000009</v>
      </c>
      <c r="G116" s="214">
        <f t="shared" si="70"/>
        <v>-125.30900000000071</v>
      </c>
      <c r="H116" s="214">
        <f t="shared" si="70"/>
        <v>-830.54799999999955</v>
      </c>
      <c r="I116" s="214">
        <f t="shared" si="70"/>
        <v>186.54460186559925</v>
      </c>
      <c r="J116" s="214">
        <f t="shared" si="70"/>
        <v>186.54460186559925</v>
      </c>
      <c r="K116" s="214">
        <f t="shared" si="70"/>
        <v>186.54460186559925</v>
      </c>
      <c r="L116" s="214">
        <f t="shared" si="70"/>
        <v>186.54460186559925</v>
      </c>
      <c r="M116" s="214">
        <f t="shared" si="70"/>
        <v>682.11877446239691</v>
      </c>
      <c r="N116" s="214">
        <f t="shared" si="70"/>
        <v>587.07501912734563</v>
      </c>
      <c r="O116" s="214">
        <f t="shared" si="70"/>
        <v>253.73078729050644</v>
      </c>
      <c r="P116" s="214">
        <f t="shared" si="70"/>
        <v>232.37757629050645</v>
      </c>
      <c r="Q116" s="214">
        <f t="shared" si="70"/>
        <v>232.37757629050645</v>
      </c>
    </row>
    <row r="117" spans="1:17" s="14" customFormat="1" ht="14.45" hidden="1" customHeight="1" outlineLevel="1" x14ac:dyDescent="0.25">
      <c r="B117" s="215" t="s">
        <v>546</v>
      </c>
      <c r="C117" s="6"/>
      <c r="D117" s="214">
        <f t="shared" ref="D117:Q117" si="71">D277</f>
        <v>-6401.0649999999951</v>
      </c>
      <c r="E117" s="214">
        <f t="shared" si="71"/>
        <v>-56197.292999999998</v>
      </c>
      <c r="F117" s="214">
        <f t="shared" si="71"/>
        <v>3569.9110000000001</v>
      </c>
      <c r="G117" s="214">
        <f t="shared" si="71"/>
        <v>-7054.408999999996</v>
      </c>
      <c r="H117" s="214">
        <f t="shared" si="71"/>
        <v>-10245.951536951015</v>
      </c>
      <c r="I117" s="214">
        <f t="shared" si="71"/>
        <v>-5196.8674012794636</v>
      </c>
      <c r="J117" s="214">
        <f t="shared" si="71"/>
        <v>-5196.8674012794636</v>
      </c>
      <c r="K117" s="214">
        <f t="shared" si="71"/>
        <v>-5196.8674012794636</v>
      </c>
      <c r="L117" s="214">
        <f t="shared" si="71"/>
        <v>-5196.8674012794636</v>
      </c>
      <c r="M117" s="214">
        <f t="shared" si="71"/>
        <v>-15837.469605117854</v>
      </c>
      <c r="N117" s="214">
        <f t="shared" si="71"/>
        <v>-17461.957583525953</v>
      </c>
      <c r="O117" s="214">
        <f t="shared" si="71"/>
        <v>-18206.944074957577</v>
      </c>
      <c r="P117" s="214">
        <f t="shared" si="71"/>
        <v>-18206.944074957577</v>
      </c>
      <c r="Q117" s="214">
        <f t="shared" si="71"/>
        <v>-18206.944074957577</v>
      </c>
    </row>
    <row r="118" spans="1:17" s="14" customFormat="1" ht="14.45" hidden="1" customHeight="1" outlineLevel="1" x14ac:dyDescent="0.25">
      <c r="B118" s="213"/>
      <c r="C118" s="6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</row>
    <row r="119" spans="1:17" s="14" customFormat="1" collapsed="1" x14ac:dyDescent="0.25">
      <c r="B119" s="14" t="s">
        <v>156</v>
      </c>
      <c r="C119" s="6"/>
      <c r="D119" s="35">
        <f t="shared" ref="D119:Q119" si="72">(D311+D316+D331)-(D378-D353)</f>
        <v>583491.72479555802</v>
      </c>
      <c r="E119" s="35">
        <f t="shared" si="72"/>
        <v>516489.18479555799</v>
      </c>
      <c r="F119" s="35">
        <f t="shared" si="72"/>
        <v>492696.35379555804</v>
      </c>
      <c r="G119" s="35">
        <f t="shared" si="72"/>
        <v>518586.39016514912</v>
      </c>
      <c r="H119" s="35">
        <f t="shared" si="72"/>
        <v>434958.46404986869</v>
      </c>
      <c r="I119" s="35">
        <f t="shared" si="72"/>
        <v>436194.71986760496</v>
      </c>
      <c r="J119" s="35">
        <f t="shared" si="72"/>
        <v>436183.44615217607</v>
      </c>
      <c r="K119" s="35">
        <f t="shared" si="72"/>
        <v>436172.17243674718</v>
      </c>
      <c r="L119" s="35">
        <f t="shared" si="72"/>
        <v>436160.89872131828</v>
      </c>
      <c r="M119" s="35">
        <f t="shared" si="72"/>
        <v>378253.88972245413</v>
      </c>
      <c r="N119" s="35">
        <f t="shared" si="72"/>
        <v>390619.50420087244</v>
      </c>
      <c r="O119" s="35">
        <f t="shared" si="72"/>
        <v>404292.20035189576</v>
      </c>
      <c r="P119" s="35">
        <f t="shared" si="72"/>
        <v>407766.61985973862</v>
      </c>
      <c r="Q119" s="35">
        <f t="shared" si="72"/>
        <v>395293.65158418065</v>
      </c>
    </row>
    <row r="120" spans="1:17" s="14" customFormat="1" ht="14.45" hidden="1" customHeight="1" outlineLevel="1" x14ac:dyDescent="0.25">
      <c r="B120" s="215" t="s">
        <v>544</v>
      </c>
      <c r="C120" s="6"/>
      <c r="D120" s="214">
        <f t="shared" ref="D120:Q120" si="73">(D312+D317+D332)-(D379-D354)</f>
        <v>176008.04750803031</v>
      </c>
      <c r="E120" s="214">
        <f t="shared" si="73"/>
        <v>135783.8155080303</v>
      </c>
      <c r="F120" s="214">
        <f t="shared" si="73"/>
        <v>127999.13750803031</v>
      </c>
      <c r="G120" s="214">
        <f t="shared" si="73"/>
        <v>176976.59319878393</v>
      </c>
      <c r="H120" s="214">
        <f t="shared" si="73"/>
        <v>179643.76529071579</v>
      </c>
      <c r="I120" s="214">
        <f t="shared" si="73"/>
        <v>187182.49072036601</v>
      </c>
      <c r="J120" s="214">
        <f t="shared" si="73"/>
        <v>193473.6866168509</v>
      </c>
      <c r="K120" s="214">
        <f t="shared" si="73"/>
        <v>199764.88251333591</v>
      </c>
      <c r="L120" s="214">
        <f t="shared" si="73"/>
        <v>206056.07840982085</v>
      </c>
      <c r="M120" s="214">
        <f t="shared" si="73"/>
        <v>239402.41664161198</v>
      </c>
      <c r="N120" s="214">
        <f t="shared" si="73"/>
        <v>276598.504634429</v>
      </c>
      <c r="O120" s="214">
        <f t="shared" si="73"/>
        <v>316464.17142311938</v>
      </c>
      <c r="P120" s="214">
        <f t="shared" si="73"/>
        <v>354859.0898296294</v>
      </c>
      <c r="Q120" s="214">
        <f t="shared" si="73"/>
        <v>377306.44127713831</v>
      </c>
    </row>
    <row r="121" spans="1:17" s="14" customFormat="1" ht="14.45" hidden="1" customHeight="1" outlineLevel="1" x14ac:dyDescent="0.25">
      <c r="B121" s="215" t="s">
        <v>545</v>
      </c>
      <c r="C121" s="6"/>
      <c r="D121" s="214">
        <f t="shared" ref="D121:Q121" si="74">(D313+D318+D333)-(D380-D355)</f>
        <v>-1735.5127124722858</v>
      </c>
      <c r="E121" s="214">
        <f t="shared" si="74"/>
        <v>2256.5602875277109</v>
      </c>
      <c r="F121" s="214">
        <f t="shared" si="74"/>
        <v>8667.1642875277175</v>
      </c>
      <c r="G121" s="214">
        <f t="shared" si="74"/>
        <v>5549.9262875277127</v>
      </c>
      <c r="H121" s="214">
        <f t="shared" si="74"/>
        <v>9268.9558125277181</v>
      </c>
      <c r="I121" s="214">
        <f t="shared" si="74"/>
        <v>9746.8714643933126</v>
      </c>
      <c r="J121" s="214">
        <f t="shared" si="74"/>
        <v>10224.787116258914</v>
      </c>
      <c r="K121" s="214">
        <f t="shared" si="74"/>
        <v>10702.702768124516</v>
      </c>
      <c r="L121" s="214">
        <f t="shared" si="74"/>
        <v>11180.618419990111</v>
      </c>
      <c r="M121" s="214">
        <f t="shared" si="74"/>
        <v>12249.108244452516</v>
      </c>
      <c r="N121" s="214">
        <f t="shared" si="74"/>
        <v>13857.554313579854</v>
      </c>
      <c r="O121" s="214">
        <f t="shared" si="74"/>
        <v>15587.656150870363</v>
      </c>
      <c r="P121" s="214">
        <f t="shared" si="74"/>
        <v>17415.033727160862</v>
      </c>
      <c r="Q121" s="214">
        <f t="shared" si="74"/>
        <v>19242.411303451368</v>
      </c>
    </row>
    <row r="122" spans="1:17" s="14" customFormat="1" ht="14.45" hidden="1" customHeight="1" outlineLevel="1" x14ac:dyDescent="0.25">
      <c r="B122" s="215" t="s">
        <v>546</v>
      </c>
      <c r="C122" s="6"/>
      <c r="D122" s="214">
        <f t="shared" ref="D122:Q122" si="75">(D314+D319+D334)-(D381-D356)</f>
        <v>409219.19</v>
      </c>
      <c r="E122" s="214">
        <f t="shared" si="75"/>
        <v>378448.80900000001</v>
      </c>
      <c r="F122" s="214">
        <f t="shared" si="75"/>
        <v>356030.05200000003</v>
      </c>
      <c r="G122" s="214">
        <f t="shared" si="75"/>
        <v>336059.87067883747</v>
      </c>
      <c r="H122" s="214">
        <f t="shared" si="75"/>
        <v>246045.74294662519</v>
      </c>
      <c r="I122" s="214">
        <f t="shared" si="75"/>
        <v>239265.35768284573</v>
      </c>
      <c r="J122" s="214">
        <f t="shared" si="75"/>
        <v>232484.97241906627</v>
      </c>
      <c r="K122" s="214">
        <f t="shared" si="75"/>
        <v>225704.5871552868</v>
      </c>
      <c r="L122" s="214">
        <f t="shared" si="75"/>
        <v>218924.20189150734</v>
      </c>
      <c r="M122" s="214">
        <f t="shared" si="75"/>
        <v>126602.36483638952</v>
      </c>
      <c r="N122" s="214">
        <f t="shared" si="75"/>
        <v>100163.44525286356</v>
      </c>
      <c r="O122" s="214">
        <f t="shared" si="75"/>
        <v>72240.37277790597</v>
      </c>
      <c r="P122" s="214">
        <f t="shared" si="75"/>
        <v>35492.496302948392</v>
      </c>
      <c r="Q122" s="214">
        <f t="shared" si="75"/>
        <v>-1255.200996408993</v>
      </c>
    </row>
    <row r="123" spans="1:17" s="14" customFormat="1" ht="14.45" hidden="1" customHeight="1" outlineLevel="1" x14ac:dyDescent="0.25">
      <c r="B123" s="213"/>
      <c r="C123" s="6"/>
      <c r="D123" s="212"/>
      <c r="E123" s="212"/>
      <c r="F123" s="212"/>
      <c r="G123" s="212"/>
      <c r="H123" s="212"/>
      <c r="I123" s="212"/>
      <c r="J123" s="212"/>
      <c r="K123" s="212"/>
      <c r="L123" s="212"/>
      <c r="M123" s="212"/>
      <c r="N123" s="212"/>
      <c r="O123" s="212"/>
      <c r="P123" s="212"/>
      <c r="Q123" s="212"/>
    </row>
    <row r="124" spans="1:17" s="14" customFormat="1" collapsed="1" x14ac:dyDescent="0.25">
      <c r="B124" s="29" t="s">
        <v>157</v>
      </c>
      <c r="C124" s="6"/>
      <c r="D124" s="207">
        <f>'P&amp;L'!D118</f>
        <v>0.13115630015403149</v>
      </c>
      <c r="E124" s="207">
        <f>D124</f>
        <v>0.13115630015403149</v>
      </c>
      <c r="F124" s="207">
        <f t="shared" ref="F124:Q124" si="76">E124</f>
        <v>0.13115630015403149</v>
      </c>
      <c r="G124" s="207">
        <f t="shared" si="76"/>
        <v>0.13115630015403149</v>
      </c>
      <c r="H124" s="207">
        <f t="shared" si="76"/>
        <v>0.13115630015403149</v>
      </c>
      <c r="I124" s="207">
        <f t="shared" si="76"/>
        <v>0.13115630015403149</v>
      </c>
      <c r="J124" s="207">
        <f t="shared" si="76"/>
        <v>0.13115630015403149</v>
      </c>
      <c r="K124" s="207">
        <f t="shared" si="76"/>
        <v>0.13115630015403149</v>
      </c>
      <c r="L124" s="207">
        <f t="shared" si="76"/>
        <v>0.13115630015403149</v>
      </c>
      <c r="M124" s="207">
        <f t="shared" si="76"/>
        <v>0.13115630015403149</v>
      </c>
      <c r="N124" s="207">
        <f t="shared" si="76"/>
        <v>0.13115630015403149</v>
      </c>
      <c r="O124" s="207">
        <f t="shared" si="76"/>
        <v>0.13115630015403149</v>
      </c>
      <c r="P124" s="207">
        <f t="shared" si="76"/>
        <v>0.13115630015403149</v>
      </c>
      <c r="Q124" s="207">
        <f t="shared" si="76"/>
        <v>0.13115630015403149</v>
      </c>
    </row>
    <row r="125" spans="1:17" s="14" customFormat="1" ht="14.45" hidden="1" customHeight="1" outlineLevel="1" x14ac:dyDescent="0.25">
      <c r="B125" s="215" t="s">
        <v>544</v>
      </c>
      <c r="C125" s="6"/>
      <c r="D125" s="216">
        <f>'P&amp;L'!D119</f>
        <v>0.13115630015403151</v>
      </c>
      <c r="E125" s="216">
        <f t="shared" ref="E125:Q127" si="77">D125</f>
        <v>0.13115630015403151</v>
      </c>
      <c r="F125" s="216">
        <f t="shared" si="77"/>
        <v>0.13115630015403151</v>
      </c>
      <c r="G125" s="216">
        <f t="shared" si="77"/>
        <v>0.13115630015403151</v>
      </c>
      <c r="H125" s="216">
        <f t="shared" si="77"/>
        <v>0.13115630015403151</v>
      </c>
      <c r="I125" s="216">
        <f t="shared" si="77"/>
        <v>0.13115630015403151</v>
      </c>
      <c r="J125" s="216">
        <f t="shared" si="77"/>
        <v>0.13115630015403151</v>
      </c>
      <c r="K125" s="216">
        <f t="shared" si="77"/>
        <v>0.13115630015403151</v>
      </c>
      <c r="L125" s="216">
        <f t="shared" si="77"/>
        <v>0.13115630015403151</v>
      </c>
      <c r="M125" s="216">
        <f t="shared" si="77"/>
        <v>0.13115630015403151</v>
      </c>
      <c r="N125" s="216">
        <f t="shared" si="77"/>
        <v>0.13115630015403151</v>
      </c>
      <c r="O125" s="216">
        <f t="shared" si="77"/>
        <v>0.13115630015403151</v>
      </c>
      <c r="P125" s="216">
        <f t="shared" si="77"/>
        <v>0.13115630015403151</v>
      </c>
      <c r="Q125" s="216">
        <f t="shared" si="77"/>
        <v>0.13115630015403151</v>
      </c>
    </row>
    <row r="126" spans="1:17" s="14" customFormat="1" ht="14.45" hidden="1" customHeight="1" outlineLevel="1" x14ac:dyDescent="0.25">
      <c r="B126" s="215" t="s">
        <v>545</v>
      </c>
      <c r="C126" s="6"/>
      <c r="D126" s="216">
        <f>'P&amp;L'!D120</f>
        <v>0.13115630015403151</v>
      </c>
      <c r="E126" s="216">
        <f t="shared" si="77"/>
        <v>0.13115630015403151</v>
      </c>
      <c r="F126" s="216">
        <f t="shared" si="77"/>
        <v>0.13115630015403151</v>
      </c>
      <c r="G126" s="216">
        <f t="shared" si="77"/>
        <v>0.13115630015403151</v>
      </c>
      <c r="H126" s="216">
        <f t="shared" si="77"/>
        <v>0.13115630015403151</v>
      </c>
      <c r="I126" s="216">
        <f t="shared" si="77"/>
        <v>0.13115630015403151</v>
      </c>
      <c r="J126" s="216">
        <f t="shared" si="77"/>
        <v>0.13115630015403151</v>
      </c>
      <c r="K126" s="216">
        <f t="shared" si="77"/>
        <v>0.13115630015403151</v>
      </c>
      <c r="L126" s="216">
        <f t="shared" si="77"/>
        <v>0.13115630015403151</v>
      </c>
      <c r="M126" s="216">
        <f t="shared" si="77"/>
        <v>0.13115630015403151</v>
      </c>
      <c r="N126" s="216">
        <f t="shared" si="77"/>
        <v>0.13115630015403151</v>
      </c>
      <c r="O126" s="216">
        <f t="shared" si="77"/>
        <v>0.13115630015403151</v>
      </c>
      <c r="P126" s="216">
        <f t="shared" si="77"/>
        <v>0.13115630015403151</v>
      </c>
      <c r="Q126" s="216">
        <f t="shared" si="77"/>
        <v>0.13115630015403151</v>
      </c>
    </row>
    <row r="127" spans="1:17" s="14" customFormat="1" ht="14.45" hidden="1" customHeight="1" outlineLevel="1" x14ac:dyDescent="0.25">
      <c r="B127" s="215" t="s">
        <v>546</v>
      </c>
      <c r="C127" s="6"/>
      <c r="D127" s="216">
        <f>'P&amp;L'!D121</f>
        <v>0.13115630015403151</v>
      </c>
      <c r="E127" s="216">
        <f t="shared" si="77"/>
        <v>0.13115630015403151</v>
      </c>
      <c r="F127" s="216">
        <f t="shared" si="77"/>
        <v>0.13115630015403151</v>
      </c>
      <c r="G127" s="216">
        <f t="shared" si="77"/>
        <v>0.13115630015403151</v>
      </c>
      <c r="H127" s="216">
        <f t="shared" si="77"/>
        <v>0.13115630015403151</v>
      </c>
      <c r="I127" s="216">
        <f t="shared" si="77"/>
        <v>0.13115630015403151</v>
      </c>
      <c r="J127" s="216">
        <f t="shared" si="77"/>
        <v>0.13115630015403151</v>
      </c>
      <c r="K127" s="216">
        <f t="shared" si="77"/>
        <v>0.13115630015403151</v>
      </c>
      <c r="L127" s="216">
        <f t="shared" si="77"/>
        <v>0.13115630015403151</v>
      </c>
      <c r="M127" s="216">
        <f t="shared" si="77"/>
        <v>0.13115630015403151</v>
      </c>
      <c r="N127" s="216">
        <f t="shared" si="77"/>
        <v>0.13115630015403151</v>
      </c>
      <c r="O127" s="216">
        <f t="shared" si="77"/>
        <v>0.13115630015403151</v>
      </c>
      <c r="P127" s="216">
        <f t="shared" si="77"/>
        <v>0.13115630015403151</v>
      </c>
      <c r="Q127" s="216">
        <f t="shared" si="77"/>
        <v>0.13115630015403151</v>
      </c>
    </row>
    <row r="128" spans="1:17" s="14" customFormat="1" ht="14.45" hidden="1" customHeight="1" outlineLevel="1" x14ac:dyDescent="0.25">
      <c r="B128" s="213"/>
      <c r="C128" s="6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</row>
    <row r="129" spans="1:18" s="14" customFormat="1" collapsed="1" x14ac:dyDescent="0.25">
      <c r="B129" s="208" t="s">
        <v>158</v>
      </c>
      <c r="C129" s="6"/>
      <c r="D129" s="209">
        <f t="shared" ref="D129:Q129" si="78">D119*D124</f>
        <v>76528.615794679747</v>
      </c>
      <c r="E129" s="209">
        <f t="shared" si="78"/>
        <v>67740.810547357236</v>
      </c>
      <c r="F129" s="209">
        <f t="shared" si="78"/>
        <v>64620.2308632071</v>
      </c>
      <c r="G129" s="209">
        <f t="shared" si="78"/>
        <v>68015.872244295984</v>
      </c>
      <c r="H129" s="209">
        <f t="shared" si="78"/>
        <v>57047.542865461095</v>
      </c>
      <c r="I129" s="209">
        <f t="shared" si="78"/>
        <v>57209.685604559279</v>
      </c>
      <c r="J129" s="209">
        <f t="shared" si="78"/>
        <v>57208.206985754638</v>
      </c>
      <c r="K129" s="209">
        <f t="shared" si="78"/>
        <v>57206.728366949988</v>
      </c>
      <c r="L129" s="209">
        <f t="shared" si="78"/>
        <v>57205.249748145347</v>
      </c>
      <c r="M129" s="209">
        <f t="shared" si="78"/>
        <v>49610.380694868116</v>
      </c>
      <c r="N129" s="209">
        <f t="shared" si="78"/>
        <v>51232.208938988588</v>
      </c>
      <c r="O129" s="209">
        <f t="shared" si="78"/>
        <v>53025.469179287073</v>
      </c>
      <c r="P129" s="209">
        <f t="shared" si="78"/>
        <v>53481.161187118734</v>
      </c>
      <c r="Q129" s="209">
        <f t="shared" si="78"/>
        <v>51845.252816157939</v>
      </c>
    </row>
    <row r="130" spans="1:18" s="14" customFormat="1" ht="14.45" hidden="1" customHeight="1" outlineLevel="1" x14ac:dyDescent="0.25">
      <c r="B130" s="215" t="s">
        <v>544</v>
      </c>
      <c r="C130" s="6"/>
      <c r="D130" s="214">
        <f t="shared" ref="D130:Q130" si="79">D120*D125</f>
        <v>23084.564308488261</v>
      </c>
      <c r="E130" s="214">
        <f t="shared" si="79"/>
        <v>17808.902862830859</v>
      </c>
      <c r="F130" s="214">
        <f t="shared" si="79"/>
        <v>16787.893298460378</v>
      </c>
      <c r="G130" s="214">
        <f t="shared" si="79"/>
        <v>23211.595177817639</v>
      </c>
      <c r="H130" s="214">
        <f t="shared" si="79"/>
        <v>23561.411601269509</v>
      </c>
      <c r="I130" s="214">
        <f t="shared" si="79"/>
        <v>24550.162936499542</v>
      </c>
      <c r="J130" s="214">
        <f t="shared" si="79"/>
        <v>25375.292913826728</v>
      </c>
      <c r="K130" s="214">
        <f t="shared" si="79"/>
        <v>26200.422891153925</v>
      </c>
      <c r="L130" s="214">
        <f t="shared" si="79"/>
        <v>27025.552868481118</v>
      </c>
      <c r="M130" s="214">
        <f t="shared" si="79"/>
        <v>31399.135214647769</v>
      </c>
      <c r="N130" s="214">
        <f t="shared" si="79"/>
        <v>36277.636495989449</v>
      </c>
      <c r="O130" s="214">
        <f t="shared" si="79"/>
        <v>41506.269855167528</v>
      </c>
      <c r="P130" s="214">
        <f t="shared" si="79"/>
        <v>46542.005298081305</v>
      </c>
      <c r="Q130" s="214">
        <f t="shared" si="79"/>
        <v>49486.11686219382</v>
      </c>
    </row>
    <row r="131" spans="1:18" s="14" customFormat="1" ht="14.45" hidden="1" customHeight="1" outlineLevel="1" x14ac:dyDescent="0.25">
      <c r="B131" s="215" t="s">
        <v>545</v>
      </c>
      <c r="C131" s="6"/>
      <c r="D131" s="214">
        <f t="shared" ref="D131:Q131" si="80">D121*D126</f>
        <v>-227.62342623815252</v>
      </c>
      <c r="E131" s="214">
        <f t="shared" si="80"/>
        <v>295.96209838665209</v>
      </c>
      <c r="F131" s="214">
        <f t="shared" si="80"/>
        <v>1136.7532007792879</v>
      </c>
      <c r="G131" s="214">
        <f t="shared" si="80"/>
        <v>727.9077979997345</v>
      </c>
      <c r="H131" s="214">
        <f t="shared" si="80"/>
        <v>1215.6819506623403</v>
      </c>
      <c r="I131" s="214">
        <f t="shared" si="80"/>
        <v>1278.363599346734</v>
      </c>
      <c r="J131" s="214">
        <f t="shared" si="80"/>
        <v>1341.0452480311285</v>
      </c>
      <c r="K131" s="214">
        <f t="shared" si="80"/>
        <v>1403.726896715523</v>
      </c>
      <c r="L131" s="214">
        <f t="shared" si="80"/>
        <v>1466.4085453999166</v>
      </c>
      <c r="M131" s="214">
        <f t="shared" si="80"/>
        <v>1606.5477175286362</v>
      </c>
      <c r="N131" s="214">
        <f t="shared" si="80"/>
        <v>1817.5055529526735</v>
      </c>
      <c r="O131" s="214">
        <f t="shared" si="80"/>
        <v>2044.419308821389</v>
      </c>
      <c r="P131" s="214">
        <f t="shared" si="80"/>
        <v>2284.0913907120921</v>
      </c>
      <c r="Q131" s="214">
        <f t="shared" si="80"/>
        <v>2523.7634726027964</v>
      </c>
    </row>
    <row r="132" spans="1:18" s="14" customFormat="1" ht="14.45" hidden="1" customHeight="1" outlineLevel="1" x14ac:dyDescent="0.25">
      <c r="B132" s="215" t="s">
        <v>546</v>
      </c>
      <c r="C132" s="6"/>
      <c r="D132" s="214">
        <f t="shared" ref="D132:Q132" si="81">D122*D127</f>
        <v>53671.674912429655</v>
      </c>
      <c r="E132" s="214">
        <f t="shared" si="81"/>
        <v>49635.945586139744</v>
      </c>
      <c r="F132" s="214">
        <f t="shared" si="81"/>
        <v>46695.584363967449</v>
      </c>
      <c r="G132" s="214">
        <f t="shared" si="81"/>
        <v>44076.369268478622</v>
      </c>
      <c r="H132" s="214">
        <f t="shared" si="81"/>
        <v>32270.449313529254</v>
      </c>
      <c r="I132" s="214">
        <f t="shared" si="81"/>
        <v>31381.159068713023</v>
      </c>
      <c r="J132" s="214">
        <f t="shared" si="81"/>
        <v>30491.868823896792</v>
      </c>
      <c r="K132" s="214">
        <f t="shared" si="81"/>
        <v>29602.57857908056</v>
      </c>
      <c r="L132" s="214">
        <f t="shared" si="81"/>
        <v>28713.288334264329</v>
      </c>
      <c r="M132" s="214">
        <f t="shared" si="81"/>
        <v>16604.697762691707</v>
      </c>
      <c r="N132" s="214">
        <f t="shared" si="81"/>
        <v>13137.066890046475</v>
      </c>
      <c r="O132" s="214">
        <f t="shared" si="81"/>
        <v>9474.7800152981636</v>
      </c>
      <c r="P132" s="214">
        <f t="shared" si="81"/>
        <v>4655.0644983253533</v>
      </c>
      <c r="Q132" s="214">
        <f t="shared" si="81"/>
        <v>-164.62751863865731</v>
      </c>
    </row>
    <row r="133" spans="1:18" s="14" customFormat="1" ht="14.45" hidden="1" customHeight="1" outlineLevel="1" x14ac:dyDescent="0.25">
      <c r="B133" s="213"/>
      <c r="C133" s="6"/>
      <c r="D133" s="212"/>
      <c r="E133" s="212"/>
      <c r="F133" s="212"/>
      <c r="G133" s="212"/>
      <c r="H133" s="212"/>
      <c r="I133" s="212"/>
      <c r="J133" s="212"/>
      <c r="K133" s="212"/>
      <c r="L133" s="212"/>
      <c r="M133" s="212"/>
      <c r="N133" s="212"/>
      <c r="O133" s="212"/>
      <c r="P133" s="212"/>
      <c r="Q133" s="212"/>
    </row>
    <row r="134" spans="1:18" s="14" customFormat="1" collapsed="1" x14ac:dyDescent="0.25">
      <c r="B134" s="211" t="s">
        <v>159</v>
      </c>
      <c r="C134" s="6"/>
      <c r="D134" s="210">
        <f t="shared" ref="D134:Q134" si="82">D114-D129</f>
        <v>-109485.20279467975</v>
      </c>
      <c r="E134" s="210">
        <f t="shared" si="82"/>
        <v>-157008.55754735722</v>
      </c>
      <c r="F134" s="210">
        <f t="shared" si="82"/>
        <v>-80199.202863207101</v>
      </c>
      <c r="G134" s="210">
        <f t="shared" si="82"/>
        <v>-71350.444245670442</v>
      </c>
      <c r="H134" s="210">
        <f t="shared" si="82"/>
        <v>-50294.414827315697</v>
      </c>
      <c r="I134" s="210">
        <f t="shared" si="82"/>
        <v>-57755.877715483184</v>
      </c>
      <c r="J134" s="210">
        <f t="shared" si="82"/>
        <v>-57754.399096678542</v>
      </c>
      <c r="K134" s="210">
        <f t="shared" si="82"/>
        <v>-57752.920477873893</v>
      </c>
      <c r="L134" s="210">
        <f t="shared" si="82"/>
        <v>-57751.441859069251</v>
      </c>
      <c r="M134" s="210">
        <f t="shared" si="82"/>
        <v>-47406.274925563732</v>
      </c>
      <c r="N134" s="210">
        <f t="shared" si="82"/>
        <v>-44482.726345532239</v>
      </c>
      <c r="O134" s="210">
        <f t="shared" si="82"/>
        <v>-45898.189218654443</v>
      </c>
      <c r="P134" s="210">
        <f t="shared" si="82"/>
        <v>-47968.765977350078</v>
      </c>
      <c r="Q134" s="210">
        <f t="shared" si="82"/>
        <v>-58437.775262710536</v>
      </c>
    </row>
    <row r="135" spans="1:18" s="14" customFormat="1" ht="14.45" hidden="1" customHeight="1" outlineLevel="1" x14ac:dyDescent="0.25">
      <c r="B135" s="215" t="s">
        <v>544</v>
      </c>
      <c r="C135" s="6"/>
      <c r="D135" s="214">
        <f t="shared" ref="D135:Q135" si="83">D115-D130</f>
        <v>-49294.175308488266</v>
      </c>
      <c r="E135" s="214">
        <f t="shared" si="83"/>
        <v>-56787.37286283086</v>
      </c>
      <c r="F135" s="214">
        <f t="shared" si="83"/>
        <v>-38753.948298460382</v>
      </c>
      <c r="G135" s="214">
        <f t="shared" si="83"/>
        <v>-19366.449179192095</v>
      </c>
      <c r="H135" s="214">
        <f t="shared" si="83"/>
        <v>-5731.7840261730962</v>
      </c>
      <c r="I135" s="214">
        <f t="shared" si="83"/>
        <v>-20086.032248009582</v>
      </c>
      <c r="J135" s="214">
        <f t="shared" si="83"/>
        <v>-20911.162225336768</v>
      </c>
      <c r="K135" s="214">
        <f t="shared" si="83"/>
        <v>-21736.292202663964</v>
      </c>
      <c r="L135" s="214">
        <f t="shared" si="83"/>
        <v>-22561.422179991157</v>
      </c>
      <c r="M135" s="214">
        <f t="shared" si="83"/>
        <v>-14039.678614687928</v>
      </c>
      <c r="N135" s="214">
        <f t="shared" si="83"/>
        <v>-12653.271338134495</v>
      </c>
      <c r="O135" s="214">
        <f t="shared" si="83"/>
        <v>-16425.776606867825</v>
      </c>
      <c r="P135" s="214">
        <f t="shared" si="83"/>
        <v>-23055.043589645582</v>
      </c>
      <c r="Q135" s="214">
        <f t="shared" si="83"/>
        <v>-38104.072810079342</v>
      </c>
    </row>
    <row r="136" spans="1:18" s="14" customFormat="1" ht="14.45" hidden="1" customHeight="1" outlineLevel="1" x14ac:dyDescent="0.25">
      <c r="B136" s="215" t="s">
        <v>545</v>
      </c>
      <c r="C136" s="6"/>
      <c r="D136" s="214">
        <f t="shared" ref="D136:Q136" si="84">D116-D131</f>
        <v>-118.28757376184799</v>
      </c>
      <c r="E136" s="214">
        <f t="shared" si="84"/>
        <v>5612.053901613348</v>
      </c>
      <c r="F136" s="214">
        <f t="shared" si="84"/>
        <v>1680.418799220713</v>
      </c>
      <c r="G136" s="214">
        <f t="shared" si="84"/>
        <v>-853.21679799973526</v>
      </c>
      <c r="H136" s="214">
        <f t="shared" si="84"/>
        <v>-2046.2299506623399</v>
      </c>
      <c r="I136" s="214">
        <f t="shared" si="84"/>
        <v>-1091.8189974811348</v>
      </c>
      <c r="J136" s="214">
        <f t="shared" si="84"/>
        <v>-1154.5006461655294</v>
      </c>
      <c r="K136" s="214">
        <f t="shared" si="84"/>
        <v>-1217.1822948499239</v>
      </c>
      <c r="L136" s="214">
        <f t="shared" si="84"/>
        <v>-1279.8639435343175</v>
      </c>
      <c r="M136" s="214">
        <f t="shared" si="84"/>
        <v>-924.4289430662393</v>
      </c>
      <c r="N136" s="214">
        <f t="shared" si="84"/>
        <v>-1230.430533825328</v>
      </c>
      <c r="O136" s="214">
        <f t="shared" si="84"/>
        <v>-1790.6885215308826</v>
      </c>
      <c r="P136" s="214">
        <f t="shared" si="84"/>
        <v>-2051.7138144215855</v>
      </c>
      <c r="Q136" s="214">
        <f t="shared" si="84"/>
        <v>-2291.3858963122898</v>
      </c>
    </row>
    <row r="137" spans="1:18" s="14" customFormat="1" ht="14.45" hidden="1" customHeight="1" outlineLevel="1" x14ac:dyDescent="0.25">
      <c r="B137" s="215" t="s">
        <v>546</v>
      </c>
      <c r="C137" s="6"/>
      <c r="D137" s="214">
        <f t="shared" ref="D137:Q137" si="85">D117-D132</f>
        <v>-60072.73991242965</v>
      </c>
      <c r="E137" s="214">
        <f t="shared" si="85"/>
        <v>-105833.23858613975</v>
      </c>
      <c r="F137" s="214">
        <f t="shared" si="85"/>
        <v>-43125.673363967449</v>
      </c>
      <c r="G137" s="214">
        <f t="shared" si="85"/>
        <v>-51130.778268478622</v>
      </c>
      <c r="H137" s="214">
        <f t="shared" si="85"/>
        <v>-42516.40085048027</v>
      </c>
      <c r="I137" s="214">
        <f t="shared" si="85"/>
        <v>-36578.026469992488</v>
      </c>
      <c r="J137" s="214">
        <f t="shared" si="85"/>
        <v>-35688.736225176253</v>
      </c>
      <c r="K137" s="214">
        <f t="shared" si="85"/>
        <v>-34799.445980360026</v>
      </c>
      <c r="L137" s="214">
        <f t="shared" si="85"/>
        <v>-33910.155735543791</v>
      </c>
      <c r="M137" s="214">
        <f t="shared" si="85"/>
        <v>-32442.167367809561</v>
      </c>
      <c r="N137" s="214">
        <f t="shared" si="85"/>
        <v>-30599.024473572426</v>
      </c>
      <c r="O137" s="214">
        <f t="shared" si="85"/>
        <v>-27681.724090255739</v>
      </c>
      <c r="P137" s="214">
        <f t="shared" si="85"/>
        <v>-22862.008573282932</v>
      </c>
      <c r="Q137" s="214">
        <f t="shared" si="85"/>
        <v>-18042.316556318921</v>
      </c>
    </row>
    <row r="138" spans="1:18" s="14" customFormat="1" ht="14.45" hidden="1" customHeight="1" outlineLevel="1" x14ac:dyDescent="0.25">
      <c r="B138" s="213"/>
      <c r="C138" s="6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  <c r="O138" s="212"/>
      <c r="P138" s="212"/>
      <c r="Q138" s="212"/>
    </row>
    <row r="139" spans="1:18" s="14" customFormat="1" collapsed="1" x14ac:dyDescent="0.25">
      <c r="A139" s="19" t="s">
        <v>153</v>
      </c>
      <c r="C139" s="6"/>
      <c r="F139" s="35"/>
      <c r="H139" s="31"/>
      <c r="M139" s="31"/>
      <c r="N139" s="31"/>
      <c r="O139" s="31"/>
      <c r="P139" s="31"/>
      <c r="Q139" s="31"/>
    </row>
    <row r="140" spans="1:18" s="14" customFormat="1" x14ac:dyDescent="0.25">
      <c r="B140" s="14" t="s">
        <v>151</v>
      </c>
      <c r="C140" s="6"/>
      <c r="F140" s="35"/>
      <c r="H140" s="31"/>
      <c r="M140" s="31"/>
      <c r="N140" s="31"/>
      <c r="O140" s="31"/>
      <c r="P140" s="31"/>
      <c r="Q140" s="31"/>
    </row>
    <row r="141" spans="1:18" s="14" customFormat="1" ht="15.75" collapsed="1" thickBot="1" x14ac:dyDescent="0.3">
      <c r="A141" s="203"/>
      <c r="B141" s="203"/>
      <c r="C141" s="204"/>
      <c r="D141" s="203"/>
      <c r="E141" s="203"/>
      <c r="F141" s="203"/>
      <c r="G141" s="203"/>
      <c r="H141" s="205"/>
      <c r="I141" s="203"/>
      <c r="J141" s="203"/>
      <c r="K141" s="203"/>
      <c r="L141" s="203"/>
      <c r="M141" s="205"/>
      <c r="N141" s="205"/>
      <c r="O141" s="205"/>
      <c r="P141" s="205"/>
      <c r="Q141" s="205"/>
      <c r="R141" s="203"/>
    </row>
    <row r="142" spans="1:18" ht="15.75" thickTop="1" x14ac:dyDescent="0.25"/>
    <row r="143" spans="1:18" s="14" customFormat="1" collapsed="1" x14ac:dyDescent="0.25">
      <c r="A143" s="31" t="s">
        <v>137</v>
      </c>
      <c r="C143" s="6"/>
      <c r="E143" s="198">
        <v>2011</v>
      </c>
      <c r="F143" s="190" t="s">
        <v>154</v>
      </c>
      <c r="G143" s="191" t="s">
        <v>146</v>
      </c>
      <c r="H143" s="191" t="s">
        <v>147</v>
      </c>
      <c r="J143" s="198">
        <v>2012</v>
      </c>
      <c r="K143" s="190" t="s">
        <v>154</v>
      </c>
      <c r="L143" s="191" t="s">
        <v>146</v>
      </c>
      <c r="M143" s="191" t="s">
        <v>147</v>
      </c>
      <c r="N143" s="31"/>
      <c r="O143" s="198">
        <v>2013</v>
      </c>
      <c r="P143" s="190" t="s">
        <v>154</v>
      </c>
      <c r="Q143" s="191" t="s">
        <v>146</v>
      </c>
      <c r="R143" s="191" t="s">
        <v>147</v>
      </c>
    </row>
    <row r="144" spans="1:18" s="14" customFormat="1" collapsed="1" x14ac:dyDescent="0.25">
      <c r="A144" s="193"/>
      <c r="B144" s="193" t="s">
        <v>178</v>
      </c>
      <c r="C144" s="6"/>
      <c r="D144" s="14" t="s">
        <v>2</v>
      </c>
      <c r="E144" s="35">
        <f>G209</f>
        <v>688040.5</v>
      </c>
      <c r="F144" s="35">
        <f>E144*1.1</f>
        <v>756844.55</v>
      </c>
      <c r="G144" s="199">
        <f>F144/E144-1</f>
        <v>0.10000000000000009</v>
      </c>
      <c r="H144" s="200">
        <f>G169/G144</f>
        <v>-4.4907189120206876</v>
      </c>
      <c r="J144" s="35">
        <f>H209</f>
        <v>995761.36118841497</v>
      </c>
      <c r="K144" s="35">
        <f>J144*1.1</f>
        <v>1095337.4973072566</v>
      </c>
      <c r="L144" s="199">
        <f>K144/J144-1</f>
        <v>0.10000000000000009</v>
      </c>
      <c r="M144" s="200">
        <f>L169/L144</f>
        <v>6.4869762378459619</v>
      </c>
      <c r="N144" s="31"/>
      <c r="O144" s="35">
        <f>M209</f>
        <v>992697.9406255692</v>
      </c>
      <c r="P144" s="35">
        <f>O144*1.1</f>
        <v>1091967.7346881262</v>
      </c>
      <c r="Q144" s="199">
        <f>P144/O144-1</f>
        <v>0.10000000000000009</v>
      </c>
      <c r="R144" s="200">
        <f>Q169/Q144</f>
        <v>45.367386393355289</v>
      </c>
    </row>
    <row r="145" spans="1:18" s="14" customFormat="1" ht="14.45" hidden="1" customHeight="1" outlineLevel="1" x14ac:dyDescent="0.25">
      <c r="A145" s="193"/>
      <c r="B145" s="193" t="s">
        <v>544</v>
      </c>
      <c r="E145" s="35">
        <f>G210</f>
        <v>598905.5</v>
      </c>
      <c r="F145" s="35">
        <f t="shared" ref="F145:F147" si="86">E145*1.1</f>
        <v>658796.05000000005</v>
      </c>
      <c r="G145" s="173">
        <f t="shared" ref="G145:G147" si="87">F145/E145-1</f>
        <v>0.10000000000000009</v>
      </c>
      <c r="H145" s="192">
        <f>G170/G145</f>
        <v>2.5496327242232808</v>
      </c>
      <c r="J145" s="35">
        <f>H210</f>
        <v>870658.12</v>
      </c>
      <c r="K145" s="35">
        <f t="shared" ref="K145:K147" si="88">J145*1.1</f>
        <v>957723.93200000003</v>
      </c>
      <c r="L145" s="173">
        <f t="shared" ref="L145:L147" si="89">K145/J145-1</f>
        <v>0.10000000000000009</v>
      </c>
      <c r="M145" s="192">
        <f>L170/L145</f>
        <v>1.6946747088463716</v>
      </c>
      <c r="N145" s="31"/>
      <c r="O145" s="35">
        <f>M210</f>
        <v>853985.64251999999</v>
      </c>
      <c r="P145" s="35">
        <f t="shared" ref="P145:P147" si="90">O145*1.1</f>
        <v>939384.20677200006</v>
      </c>
      <c r="Q145" s="173">
        <f t="shared" ref="Q145:Q147" si="91">P145/O145-1</f>
        <v>0.10000000000000009</v>
      </c>
      <c r="R145" s="192">
        <f>Q170/Q145</f>
        <v>1.8242441312560993</v>
      </c>
    </row>
    <row r="146" spans="1:18" s="14" customFormat="1" ht="14.45" hidden="1" customHeight="1" outlineLevel="1" x14ac:dyDescent="0.25">
      <c r="A146" s="193"/>
      <c r="B146" s="193" t="s">
        <v>545</v>
      </c>
      <c r="E146" s="35">
        <f>G211</f>
        <v>88535</v>
      </c>
      <c r="F146" s="35">
        <f t="shared" si="86"/>
        <v>97388.500000000015</v>
      </c>
      <c r="G146" s="173">
        <f t="shared" si="87"/>
        <v>0.10000000000000009</v>
      </c>
      <c r="H146" s="192">
        <f>G171/G146</f>
        <v>5.3373594335693282</v>
      </c>
      <c r="J146" s="35">
        <f>H211</f>
        <v>124787</v>
      </c>
      <c r="K146" s="35">
        <f t="shared" si="88"/>
        <v>137265.70000000001</v>
      </c>
      <c r="L146" s="173">
        <f t="shared" si="89"/>
        <v>0.10000000000000009</v>
      </c>
      <c r="M146" s="192">
        <f>L171/L146</f>
        <v>6.9173942243116313</v>
      </c>
      <c r="N146" s="31"/>
      <c r="O146" s="35">
        <f>M211</f>
        <v>138220.08755009898</v>
      </c>
      <c r="P146" s="35">
        <f t="shared" si="90"/>
        <v>152042.09630510889</v>
      </c>
      <c r="Q146" s="173">
        <f t="shared" si="91"/>
        <v>0.10000000000000009</v>
      </c>
      <c r="R146" s="192">
        <f>Q171/Q146</f>
        <v>4.3025771911176918</v>
      </c>
    </row>
    <row r="147" spans="1:18" s="14" customFormat="1" ht="14.45" hidden="1" customHeight="1" outlineLevel="1" x14ac:dyDescent="0.25">
      <c r="A147" s="193"/>
      <c r="B147" s="193" t="s">
        <v>546</v>
      </c>
      <c r="E147" s="35">
        <f>G212</f>
        <v>600</v>
      </c>
      <c r="F147" s="35">
        <f t="shared" si="86"/>
        <v>660</v>
      </c>
      <c r="G147" s="173">
        <f t="shared" si="87"/>
        <v>0.10000000000000009</v>
      </c>
      <c r="H147" s="192">
        <f>G172/G147</f>
        <v>-4.2047603436911017E-2</v>
      </c>
      <c r="J147" s="35">
        <f>H212</f>
        <v>316.24118841497773</v>
      </c>
      <c r="K147" s="35">
        <f t="shared" si="88"/>
        <v>347.86530725647555</v>
      </c>
      <c r="L147" s="173">
        <f t="shared" si="89"/>
        <v>0.10000000000000009</v>
      </c>
      <c r="M147" s="192">
        <f>L172/L147</f>
        <v>-1.9735517805540264E-2</v>
      </c>
      <c r="N147" s="31"/>
      <c r="O147" s="35">
        <f>M212</f>
        <v>492.21055547024599</v>
      </c>
      <c r="P147" s="35">
        <f t="shared" si="90"/>
        <v>541.4316110172706</v>
      </c>
      <c r="Q147" s="173">
        <f t="shared" si="91"/>
        <v>0.10000000000000009</v>
      </c>
      <c r="R147" s="192">
        <f>Q172/Q147</f>
        <v>-1.3387431559002115E-2</v>
      </c>
    </row>
    <row r="148" spans="1:18" s="14" customFormat="1" ht="14.45" hidden="1" customHeight="1" outlineLevel="1" x14ac:dyDescent="0.25">
      <c r="A148" s="193"/>
      <c r="B148" s="193"/>
      <c r="N148" s="31"/>
    </row>
    <row r="149" spans="1:18" s="14" customFormat="1" collapsed="1" x14ac:dyDescent="0.25">
      <c r="A149" s="193" t="s">
        <v>153</v>
      </c>
      <c r="B149" s="193"/>
      <c r="C149" s="6"/>
      <c r="D149" s="14" t="s">
        <v>142</v>
      </c>
      <c r="E149" s="35">
        <f>G264</f>
        <v>-2692.6109999999999</v>
      </c>
      <c r="F149" s="35">
        <f>E149</f>
        <v>-2692.6109999999999</v>
      </c>
      <c r="G149" s="33"/>
      <c r="J149" s="35">
        <f>H264</f>
        <v>-4335.1926828426276</v>
      </c>
      <c r="K149" s="35">
        <f>J149</f>
        <v>-4335.1926828426276</v>
      </c>
      <c r="L149" s="33"/>
      <c r="N149" s="31"/>
      <c r="O149" s="35">
        <f>M264</f>
        <v>-2734.1329597449167</v>
      </c>
      <c r="P149" s="35">
        <f>O149</f>
        <v>-2734.1329597449167</v>
      </c>
      <c r="Q149" s="33"/>
    </row>
    <row r="150" spans="1:18" s="14" customFormat="1" ht="14.45" hidden="1" customHeight="1" outlineLevel="1" x14ac:dyDescent="0.25">
      <c r="B150" s="14" t="s">
        <v>544</v>
      </c>
      <c r="E150" s="35">
        <f>G265</f>
        <v>-2692.6109999999999</v>
      </c>
      <c r="F150" s="35">
        <f t="shared" ref="F150:F152" si="92">E150</f>
        <v>-2692.6109999999999</v>
      </c>
      <c r="J150" s="35">
        <f>H265</f>
        <v>-4335.1926828426276</v>
      </c>
      <c r="K150" s="35">
        <f t="shared" ref="K150:K152" si="93">J150</f>
        <v>-4335.1926828426276</v>
      </c>
      <c r="N150" s="31"/>
      <c r="O150" s="35">
        <f>M265</f>
        <v>-2734.1329597449167</v>
      </c>
      <c r="P150" s="35">
        <f t="shared" ref="P150:P152" si="94">O150</f>
        <v>-2734.1329597449167</v>
      </c>
    </row>
    <row r="151" spans="1:18" s="14" customFormat="1" ht="14.45" hidden="1" customHeight="1" outlineLevel="1" x14ac:dyDescent="0.25">
      <c r="B151" s="14" t="s">
        <v>545</v>
      </c>
      <c r="E151" s="35">
        <f>G266</f>
        <v>0</v>
      </c>
      <c r="F151" s="35">
        <f t="shared" si="92"/>
        <v>0</v>
      </c>
      <c r="J151" s="35">
        <f>H266</f>
        <v>0</v>
      </c>
      <c r="K151" s="35">
        <f t="shared" si="93"/>
        <v>0</v>
      </c>
      <c r="N151" s="31"/>
      <c r="O151" s="35">
        <f>M266</f>
        <v>0</v>
      </c>
      <c r="P151" s="35">
        <f t="shared" si="94"/>
        <v>0</v>
      </c>
    </row>
    <row r="152" spans="1:18" s="14" customFormat="1" ht="14.45" hidden="1" customHeight="1" outlineLevel="1" x14ac:dyDescent="0.25">
      <c r="B152" s="14" t="s">
        <v>546</v>
      </c>
      <c r="E152" s="35">
        <f>G267</f>
        <v>0</v>
      </c>
      <c r="F152" s="35">
        <f t="shared" si="92"/>
        <v>0</v>
      </c>
      <c r="J152" s="35">
        <f>H267</f>
        <v>0</v>
      </c>
      <c r="K152" s="35">
        <f t="shared" si="93"/>
        <v>0</v>
      </c>
      <c r="N152" s="31"/>
      <c r="O152" s="35">
        <f>M267</f>
        <v>0</v>
      </c>
      <c r="P152" s="35">
        <f t="shared" si="94"/>
        <v>0</v>
      </c>
    </row>
    <row r="153" spans="1:18" s="14" customFormat="1" ht="14.45" hidden="1" customHeight="1" outlineLevel="1" x14ac:dyDescent="0.25">
      <c r="N153" s="31"/>
    </row>
    <row r="154" spans="1:18" s="14" customFormat="1" collapsed="1" x14ac:dyDescent="0.25">
      <c r="C154" s="6"/>
      <c r="D154" s="14" t="s">
        <v>138</v>
      </c>
      <c r="E154" s="35">
        <f>G214/G209*E144</f>
        <v>641732</v>
      </c>
      <c r="F154" s="35">
        <f>E154/E144*F144</f>
        <v>705905.20000000007</v>
      </c>
      <c r="G154" s="33"/>
      <c r="J154" s="35">
        <f>H214/H209*J144</f>
        <v>915309.58129999996</v>
      </c>
      <c r="K154" s="35">
        <f>J154/J144*K144</f>
        <v>1006840.5394300001</v>
      </c>
      <c r="L154" s="33"/>
      <c r="N154" s="31"/>
      <c r="O154" s="35">
        <f>M214/M209*O144</f>
        <v>915058.80427873996</v>
      </c>
      <c r="P154" s="35">
        <f>O154/O144*P144</f>
        <v>1006564.6847066141</v>
      </c>
      <c r="Q154" s="33"/>
    </row>
    <row r="155" spans="1:18" s="14" customFormat="1" ht="14.45" hidden="1" customHeight="1" outlineLevel="1" x14ac:dyDescent="0.25">
      <c r="B155" s="14" t="s">
        <v>544</v>
      </c>
      <c r="E155" s="35">
        <f>G215/G210*E145</f>
        <v>563940</v>
      </c>
      <c r="F155" s="35">
        <f>E155/E145*F145</f>
        <v>620334.00000000012</v>
      </c>
      <c r="J155" s="35">
        <f>H215/H210*J145</f>
        <v>800692.58129999996</v>
      </c>
      <c r="K155" s="35">
        <f>J155/J145*K145</f>
        <v>880761.83942999993</v>
      </c>
      <c r="N155" s="31"/>
      <c r="O155" s="35">
        <f>M215/M210*O145</f>
        <v>788910.93799140002</v>
      </c>
      <c r="P155" s="35">
        <f>O155/O145*P145</f>
        <v>867802.03179054009</v>
      </c>
    </row>
    <row r="156" spans="1:18" s="14" customFormat="1" ht="14.45" hidden="1" customHeight="1" outlineLevel="1" x14ac:dyDescent="0.25">
      <c r="B156" s="14" t="s">
        <v>545</v>
      </c>
      <c r="E156" s="35">
        <f>G216/G211*E146</f>
        <v>78283</v>
      </c>
      <c r="F156" s="35">
        <f>E156/E146*F146</f>
        <v>86111.300000000017</v>
      </c>
      <c r="J156" s="35">
        <f>H216/H211*J146</f>
        <v>114899</v>
      </c>
      <c r="K156" s="35">
        <f>J156/J146*K146</f>
        <v>126388.90000000001</v>
      </c>
      <c r="N156" s="31"/>
      <c r="O156" s="35">
        <f>M216/M211*O146</f>
        <v>126147.86628733996</v>
      </c>
      <c r="P156" s="35">
        <f>O156/O146*P146</f>
        <v>138762.65291607397</v>
      </c>
    </row>
    <row r="157" spans="1:18" s="14" customFormat="1" ht="14.45" hidden="1" customHeight="1" outlineLevel="1" x14ac:dyDescent="0.25">
      <c r="B157" s="14" t="s">
        <v>546</v>
      </c>
      <c r="E157" s="35">
        <f>G217/G212*E147</f>
        <v>-491</v>
      </c>
      <c r="F157" s="35">
        <f>E157/E147*F147</f>
        <v>-540.1</v>
      </c>
      <c r="J157" s="35">
        <f>H217/H212*J147</f>
        <v>-282</v>
      </c>
      <c r="K157" s="35">
        <f>J157/J147*K147</f>
        <v>-310.20000000000005</v>
      </c>
      <c r="N157" s="31"/>
      <c r="O157" s="35">
        <f>M217/M212*O147</f>
        <v>0</v>
      </c>
      <c r="P157" s="35">
        <f>O157/O147*P147</f>
        <v>0</v>
      </c>
    </row>
    <row r="158" spans="1:18" s="14" customFormat="1" ht="14.45" hidden="1" customHeight="1" outlineLevel="1" x14ac:dyDescent="0.25">
      <c r="N158" s="31"/>
    </row>
    <row r="159" spans="1:18" s="14" customFormat="1" collapsed="1" x14ac:dyDescent="0.25">
      <c r="C159" s="6"/>
      <c r="D159" s="14" t="s">
        <v>139</v>
      </c>
      <c r="E159" s="35">
        <f>G229</f>
        <v>53927.935001374455</v>
      </c>
      <c r="F159" s="35">
        <f>E159</f>
        <v>53927.935001374455</v>
      </c>
      <c r="G159" s="33"/>
      <c r="J159" s="35">
        <f>H229</f>
        <v>63714.540868629512</v>
      </c>
      <c r="K159" s="35">
        <f>J159</f>
        <v>63714.540868629512</v>
      </c>
      <c r="L159" s="33"/>
      <c r="N159" s="31"/>
      <c r="O159" s="35">
        <f>M229</f>
        <v>73193.66088933358</v>
      </c>
      <c r="P159" s="35">
        <f>O159</f>
        <v>73193.66088933358</v>
      </c>
      <c r="Q159" s="33"/>
    </row>
    <row r="160" spans="1:18" s="14" customFormat="1" ht="14.45" hidden="1" customHeight="1" outlineLevel="1" x14ac:dyDescent="0.25">
      <c r="B160" s="14" t="s">
        <v>544</v>
      </c>
      <c r="E160" s="35">
        <f>G230</f>
        <v>18558.953001374459</v>
      </c>
      <c r="F160" s="35">
        <f t="shared" ref="F160:F162" si="95">E160</f>
        <v>18558.953001374459</v>
      </c>
      <c r="J160" s="35">
        <f>H230</f>
        <v>24344.818868629511</v>
      </c>
      <c r="K160" s="35">
        <f t="shared" ref="K160:K162" si="96">J160</f>
        <v>24344.818868629511</v>
      </c>
      <c r="N160" s="31"/>
      <c r="O160" s="35">
        <f>M230</f>
        <v>26668.424725333571</v>
      </c>
      <c r="P160" s="35">
        <f t="shared" ref="P160:P162" si="97">O160</f>
        <v>26668.424725333571</v>
      </c>
    </row>
    <row r="161" spans="1:18" s="14" customFormat="1" ht="14.45" hidden="1" customHeight="1" outlineLevel="1" x14ac:dyDescent="0.25">
      <c r="B161" s="14" t="s">
        <v>545</v>
      </c>
      <c r="E161" s="35">
        <f>G231</f>
        <v>8331.2000000000007</v>
      </c>
      <c r="F161" s="35">
        <f t="shared" si="95"/>
        <v>8331.2000000000007</v>
      </c>
      <c r="J161" s="35">
        <f>H231</f>
        <v>8458.56</v>
      </c>
      <c r="K161" s="35">
        <f t="shared" si="96"/>
        <v>8458.56</v>
      </c>
      <c r="N161" s="31"/>
      <c r="O161" s="35">
        <f>M231</f>
        <v>9266.409599999999</v>
      </c>
      <c r="P161" s="35">
        <f t="shared" si="97"/>
        <v>9266.409599999999</v>
      </c>
    </row>
    <row r="162" spans="1:18" s="14" customFormat="1" ht="14.45" hidden="1" customHeight="1" outlineLevel="1" x14ac:dyDescent="0.25">
      <c r="B162" s="14" t="s">
        <v>546</v>
      </c>
      <c r="E162" s="35">
        <f>G232</f>
        <v>27037.781999999999</v>
      </c>
      <c r="F162" s="35">
        <f t="shared" si="95"/>
        <v>27037.781999999999</v>
      </c>
      <c r="J162" s="35">
        <f>H232</f>
        <v>30911.162000000004</v>
      </c>
      <c r="K162" s="35">
        <f t="shared" si="96"/>
        <v>30911.162000000004</v>
      </c>
      <c r="N162" s="31"/>
      <c r="O162" s="35">
        <f>M232</f>
        <v>37258.826564000003</v>
      </c>
      <c r="P162" s="35">
        <f t="shared" si="97"/>
        <v>37258.826564000003</v>
      </c>
    </row>
    <row r="163" spans="1:18" s="14" customFormat="1" ht="14.45" hidden="1" customHeight="1" outlineLevel="1" x14ac:dyDescent="0.25">
      <c r="N163" s="31"/>
    </row>
    <row r="164" spans="1:18" s="14" customFormat="1" collapsed="1" x14ac:dyDescent="0.25">
      <c r="C164" s="6"/>
      <c r="D164" s="29" t="s">
        <v>145</v>
      </c>
      <c r="E164" s="189">
        <f>G234</f>
        <v>0</v>
      </c>
      <c r="F164" s="189">
        <f>E164</f>
        <v>0</v>
      </c>
      <c r="G164" s="33"/>
      <c r="J164" s="189">
        <f>H234</f>
        <v>0</v>
      </c>
      <c r="K164" s="189">
        <f>J164</f>
        <v>0</v>
      </c>
      <c r="L164" s="33"/>
      <c r="N164" s="31"/>
      <c r="O164" s="189">
        <f>M234</f>
        <v>0</v>
      </c>
      <c r="P164" s="189">
        <f>O164</f>
        <v>0</v>
      </c>
      <c r="Q164" s="33"/>
    </row>
    <row r="165" spans="1:18" s="14" customFormat="1" ht="14.45" hidden="1" customHeight="1" outlineLevel="1" x14ac:dyDescent="0.25">
      <c r="B165" s="14" t="s">
        <v>544</v>
      </c>
      <c r="E165" s="14">
        <f>G235</f>
        <v>0</v>
      </c>
      <c r="F165" s="14">
        <f t="shared" ref="F165:F167" si="98">E165</f>
        <v>0</v>
      </c>
      <c r="J165" s="35">
        <f>H235</f>
        <v>0</v>
      </c>
      <c r="K165" s="14">
        <f t="shared" ref="K165:K167" si="99">J165</f>
        <v>0</v>
      </c>
      <c r="N165" s="31"/>
      <c r="O165" s="35">
        <f>M235</f>
        <v>0</v>
      </c>
      <c r="P165" s="14">
        <f t="shared" ref="P165:P167" si="100">O165</f>
        <v>0</v>
      </c>
    </row>
    <row r="166" spans="1:18" s="14" customFormat="1" ht="14.45" hidden="1" customHeight="1" outlineLevel="1" x14ac:dyDescent="0.25">
      <c r="B166" s="14" t="s">
        <v>545</v>
      </c>
      <c r="E166" s="14">
        <f>G236</f>
        <v>0</v>
      </c>
      <c r="F166" s="14">
        <f t="shared" si="98"/>
        <v>0</v>
      </c>
      <c r="J166" s="35">
        <f>H236</f>
        <v>0</v>
      </c>
      <c r="K166" s="14">
        <f t="shared" si="99"/>
        <v>0</v>
      </c>
      <c r="N166" s="31"/>
      <c r="O166" s="35">
        <f>M236</f>
        <v>0</v>
      </c>
      <c r="P166" s="14">
        <f t="shared" si="100"/>
        <v>0</v>
      </c>
    </row>
    <row r="167" spans="1:18" s="14" customFormat="1" ht="14.45" hidden="1" customHeight="1" outlineLevel="1" x14ac:dyDescent="0.25">
      <c r="B167" s="14" t="s">
        <v>546</v>
      </c>
      <c r="E167" s="14">
        <f>G237</f>
        <v>0</v>
      </c>
      <c r="F167" s="14">
        <f t="shared" si="98"/>
        <v>0</v>
      </c>
      <c r="J167" s="35">
        <f>H237</f>
        <v>0</v>
      </c>
      <c r="K167" s="14">
        <f t="shared" si="99"/>
        <v>0</v>
      </c>
      <c r="N167" s="31"/>
      <c r="O167" s="35">
        <f>M237</f>
        <v>0</v>
      </c>
      <c r="P167" s="14">
        <f t="shared" si="100"/>
        <v>0</v>
      </c>
    </row>
    <row r="168" spans="1:18" s="14" customFormat="1" ht="14.45" hidden="1" customHeight="1" outlineLevel="1" x14ac:dyDescent="0.25">
      <c r="N168" s="31"/>
    </row>
    <row r="169" spans="1:18" s="14" customFormat="1" collapsed="1" x14ac:dyDescent="0.25">
      <c r="A169" s="195"/>
      <c r="B169" s="195" t="s">
        <v>148</v>
      </c>
      <c r="C169" s="6"/>
      <c r="D169" s="14" t="s">
        <v>17</v>
      </c>
      <c r="E169" s="35">
        <f t="shared" ref="E169:F172" si="101">E144+E149-E154-E159-E164</f>
        <v>-10312.046001374489</v>
      </c>
      <c r="F169" s="35">
        <f t="shared" si="101"/>
        <v>-5681.196001374512</v>
      </c>
      <c r="G169" s="199">
        <f>F169/E169-1</f>
        <v>-0.44907189120206914</v>
      </c>
      <c r="H169" s="201">
        <f>G184/G169</f>
        <v>0.30605203492686667</v>
      </c>
      <c r="J169" s="35">
        <f t="shared" ref="J169:K172" si="102">J144+J149-J154-J159-J164</f>
        <v>12402.046336942891</v>
      </c>
      <c r="K169" s="35">
        <f t="shared" si="102"/>
        <v>20447.224325784206</v>
      </c>
      <c r="L169" s="199">
        <f>K169/J169-1</f>
        <v>0.64869762378459672</v>
      </c>
      <c r="M169" s="201">
        <f>L184/L169</f>
        <v>-1.4477260020141112</v>
      </c>
      <c r="N169" s="31"/>
      <c r="O169" s="35">
        <f t="shared" ref="O169:P172" si="103">O144+O149-O154-O159-O164</f>
        <v>1711.3424977507675</v>
      </c>
      <c r="P169" s="35">
        <f t="shared" si="103"/>
        <v>9475.2561324336566</v>
      </c>
      <c r="Q169" s="199">
        <f>P169/O169-1</f>
        <v>4.5367386393355327</v>
      </c>
      <c r="R169" s="201">
        <f>Q184/Q169</f>
        <v>-9.2491209952720949E-2</v>
      </c>
    </row>
    <row r="170" spans="1:18" s="14" customFormat="1" ht="14.45" hidden="1" customHeight="1" outlineLevel="1" x14ac:dyDescent="0.25">
      <c r="A170" s="195"/>
      <c r="B170" s="195" t="s">
        <v>544</v>
      </c>
      <c r="E170" s="35">
        <f t="shared" si="101"/>
        <v>13713.935998625508</v>
      </c>
      <c r="F170" s="35">
        <f t="shared" si="101"/>
        <v>17210.485998625438</v>
      </c>
      <c r="G170" s="173">
        <f t="shared" ref="G170:G172" si="104">F170/E170-1</f>
        <v>0.2549632724223283</v>
      </c>
      <c r="H170" s="194">
        <f>G185/G170</f>
        <v>1.0457662632207869</v>
      </c>
      <c r="J170" s="35">
        <f t="shared" si="102"/>
        <v>41285.527148527915</v>
      </c>
      <c r="K170" s="35">
        <f t="shared" si="102"/>
        <v>48282.081018527977</v>
      </c>
      <c r="L170" s="173">
        <f t="shared" ref="L170:L172" si="105">K170/J170-1</f>
        <v>0.16946747088463732</v>
      </c>
      <c r="M170" s="194">
        <f>L185/L170</f>
        <v>1.0203813442643987</v>
      </c>
      <c r="N170" s="31"/>
      <c r="O170" s="35">
        <f t="shared" si="103"/>
        <v>35672.146843521514</v>
      </c>
      <c r="P170" s="35">
        <f t="shared" si="103"/>
        <v>42179.617296381512</v>
      </c>
      <c r="Q170" s="173">
        <f t="shared" ref="Q170:Q172" si="106">P170/O170-1</f>
        <v>0.18242441312561009</v>
      </c>
      <c r="R170" s="194">
        <f>Q185/Q170</f>
        <v>1.0117483316000582</v>
      </c>
    </row>
    <row r="171" spans="1:18" s="14" customFormat="1" ht="14.45" hidden="1" customHeight="1" outlineLevel="1" x14ac:dyDescent="0.25">
      <c r="A171" s="195"/>
      <c r="B171" s="195" t="s">
        <v>545</v>
      </c>
      <c r="E171" s="35">
        <f t="shared" si="101"/>
        <v>1920.7999999999993</v>
      </c>
      <c r="F171" s="35">
        <f t="shared" si="101"/>
        <v>2945.9999999999964</v>
      </c>
      <c r="G171" s="173">
        <f t="shared" si="104"/>
        <v>0.53373594335693331</v>
      </c>
      <c r="H171" s="194">
        <f>G186/G171</f>
        <v>1.2077252161053504</v>
      </c>
      <c r="J171" s="35">
        <f t="shared" si="102"/>
        <v>1429.4400000000005</v>
      </c>
      <c r="K171" s="35">
        <f t="shared" si="102"/>
        <v>2418.2400000000034</v>
      </c>
      <c r="L171" s="173">
        <f t="shared" si="105"/>
        <v>0.69173942243116371</v>
      </c>
      <c r="M171" s="194">
        <f>L186/L171</f>
        <v>1.0894976421904128</v>
      </c>
      <c r="N171" s="31"/>
      <c r="O171" s="35">
        <f t="shared" si="103"/>
        <v>2805.8116627590207</v>
      </c>
      <c r="P171" s="35">
        <f t="shared" si="103"/>
        <v>4013.0337890349183</v>
      </c>
      <c r="Q171" s="173">
        <f t="shared" si="106"/>
        <v>0.43025771911176958</v>
      </c>
      <c r="R171" s="194">
        <f>Q186/Q171</f>
        <v>1.0441462165697686</v>
      </c>
    </row>
    <row r="172" spans="1:18" s="14" customFormat="1" ht="14.45" hidden="1" customHeight="1" outlineLevel="1" x14ac:dyDescent="0.25">
      <c r="A172" s="195"/>
      <c r="B172" s="195" t="s">
        <v>546</v>
      </c>
      <c r="E172" s="35">
        <f t="shared" si="101"/>
        <v>-25946.781999999999</v>
      </c>
      <c r="F172" s="35">
        <f t="shared" si="101"/>
        <v>-25837.682000000001</v>
      </c>
      <c r="G172" s="173">
        <f t="shared" si="104"/>
        <v>-4.2047603436911052E-3</v>
      </c>
      <c r="H172" s="194">
        <f>G187/G172</f>
        <v>0.53611310046255778</v>
      </c>
      <c r="J172" s="35">
        <f t="shared" si="102"/>
        <v>-30312.920811585027</v>
      </c>
      <c r="K172" s="35">
        <f t="shared" si="102"/>
        <v>-30253.096692743529</v>
      </c>
      <c r="L172" s="173">
        <f t="shared" si="105"/>
        <v>-1.9735517805540281E-3</v>
      </c>
      <c r="M172" s="194">
        <f>L187/L172</f>
        <v>0.60217007061564565</v>
      </c>
      <c r="N172" s="31"/>
      <c r="O172" s="35">
        <f t="shared" si="103"/>
        <v>-36766.61600852976</v>
      </c>
      <c r="P172" s="35">
        <f t="shared" si="103"/>
        <v>-36717.39495298273</v>
      </c>
      <c r="Q172" s="173">
        <f t="shared" si="106"/>
        <v>-1.3387431559002128E-3</v>
      </c>
      <c r="R172" s="194">
        <f>Q187/Q172</f>
        <v>0.65133757231804579</v>
      </c>
    </row>
    <row r="173" spans="1:18" s="14" customFormat="1" ht="14.45" hidden="1" customHeight="1" outlineLevel="1" x14ac:dyDescent="0.25">
      <c r="A173" s="195"/>
      <c r="B173" s="195"/>
      <c r="N173" s="31"/>
    </row>
    <row r="174" spans="1:18" s="14" customFormat="1" collapsed="1" x14ac:dyDescent="0.25">
      <c r="A174" s="195" t="s">
        <v>153</v>
      </c>
      <c r="B174" s="195"/>
      <c r="C174" s="6"/>
      <c r="D174" s="14" t="s">
        <v>140</v>
      </c>
      <c r="E174" s="35">
        <f>G254</f>
        <v>23381.721151124999</v>
      </c>
      <c r="F174" s="35">
        <f>E174</f>
        <v>23381.721151124999</v>
      </c>
      <c r="G174" s="41"/>
      <c r="J174" s="35">
        <f>H254</f>
        <v>20968.616474999999</v>
      </c>
      <c r="K174" s="35">
        <f>J174</f>
        <v>20968.616474999999</v>
      </c>
      <c r="L174" s="41"/>
      <c r="N174" s="31"/>
      <c r="O174" s="35">
        <f>M254</f>
        <v>20214.100745</v>
      </c>
      <c r="P174" s="35">
        <f>O174</f>
        <v>20214.100745</v>
      </c>
      <c r="Q174" s="41"/>
    </row>
    <row r="175" spans="1:18" s="14" customFormat="1" ht="14.45" hidden="1" customHeight="1" outlineLevel="1" x14ac:dyDescent="0.25">
      <c r="B175" s="14" t="s">
        <v>544</v>
      </c>
      <c r="E175" s="35">
        <f>G255</f>
        <v>600.16815112499989</v>
      </c>
      <c r="F175" s="35">
        <f t="shared" ref="F175:F177" si="107">E175</f>
        <v>600.16815112499989</v>
      </c>
      <c r="J175" s="35">
        <f>H255</f>
        <v>824.64712499999996</v>
      </c>
      <c r="K175" s="35">
        <f t="shared" ref="K175:K177" si="108">J175</f>
        <v>824.64712499999996</v>
      </c>
      <c r="N175" s="31"/>
      <c r="O175" s="35">
        <f>M255</f>
        <v>414.22179499999999</v>
      </c>
      <c r="P175" s="35">
        <f t="shared" ref="P175:P177" si="109">O175</f>
        <v>414.22179499999999</v>
      </c>
    </row>
    <row r="176" spans="1:18" s="14" customFormat="1" ht="14.45" hidden="1" customHeight="1" outlineLevel="1" x14ac:dyDescent="0.25">
      <c r="B176" s="14" t="s">
        <v>545</v>
      </c>
      <c r="E176" s="35">
        <f>G256</f>
        <v>330.37200000000001</v>
      </c>
      <c r="F176" s="35">
        <f t="shared" si="107"/>
        <v>330.37200000000001</v>
      </c>
      <c r="J176" s="35">
        <f>H256</f>
        <v>117.42247500000002</v>
      </c>
      <c r="K176" s="35">
        <f t="shared" si="108"/>
        <v>117.42247500000002</v>
      </c>
      <c r="N176" s="31"/>
      <c r="O176" s="35">
        <f>M256</f>
        <v>118.62895000000002</v>
      </c>
      <c r="P176" s="35">
        <f t="shared" si="109"/>
        <v>118.62895000000002</v>
      </c>
    </row>
    <row r="177" spans="1:18" s="14" customFormat="1" ht="14.45" hidden="1" customHeight="1" outlineLevel="1" x14ac:dyDescent="0.25">
      <c r="B177" s="14" t="s">
        <v>546</v>
      </c>
      <c r="E177" s="35">
        <f>G257</f>
        <v>22451.181</v>
      </c>
      <c r="F177" s="35">
        <f t="shared" si="107"/>
        <v>22451.181</v>
      </c>
      <c r="J177" s="35">
        <f>H257</f>
        <v>20026.546875</v>
      </c>
      <c r="K177" s="35">
        <f t="shared" si="108"/>
        <v>20026.546875</v>
      </c>
      <c r="N177" s="31"/>
      <c r="O177" s="35">
        <f>M257</f>
        <v>19681.25</v>
      </c>
      <c r="P177" s="35">
        <f t="shared" si="109"/>
        <v>19681.25</v>
      </c>
    </row>
    <row r="178" spans="1:18" s="14" customFormat="1" ht="14.45" hidden="1" customHeight="1" outlineLevel="1" x14ac:dyDescent="0.25">
      <c r="N178" s="31"/>
    </row>
    <row r="179" spans="1:18" s="14" customFormat="1" collapsed="1" x14ac:dyDescent="0.25">
      <c r="C179" s="6"/>
      <c r="D179" s="29" t="s">
        <v>141</v>
      </c>
      <c r="E179" s="189">
        <f>G259</f>
        <v>-16906.525000000001</v>
      </c>
      <c r="F179" s="189">
        <f>(E179/(E169-E174))*(F169-F174)</f>
        <v>-14582.902920524635</v>
      </c>
      <c r="G179" s="41"/>
      <c r="J179" s="189">
        <f>H259</f>
        <v>-3519.8890183598996</v>
      </c>
      <c r="K179" s="189">
        <f>(J179/(J169-J174))*(K169-K174)</f>
        <v>-214.23305601977697</v>
      </c>
      <c r="L179" s="41"/>
      <c r="N179" s="31"/>
      <c r="O179" s="189">
        <f>M259</f>
        <v>-12258.630311808718</v>
      </c>
      <c r="P179" s="189">
        <f>(O179/(O169-O174))*(P169-P174)</f>
        <v>-7114.8054966875388</v>
      </c>
      <c r="Q179" s="41"/>
    </row>
    <row r="180" spans="1:18" s="14" customFormat="1" ht="14.45" hidden="1" customHeight="1" outlineLevel="1" x14ac:dyDescent="0.25">
      <c r="B180" s="14" t="s">
        <v>544</v>
      </c>
      <c r="E180" s="35">
        <f>G260</f>
        <v>4200.7780000000002</v>
      </c>
      <c r="F180" s="35">
        <f>(E180/(E170-E175))*(F170-F175)</f>
        <v>5320.8397920576726</v>
      </c>
      <c r="J180" s="35">
        <f>H260</f>
        <v>18991.092256274111</v>
      </c>
      <c r="K180" s="35">
        <f>(J180/(J170-J175))*(K170-K175)</f>
        <v>22275.059385607379</v>
      </c>
      <c r="N180" s="31"/>
      <c r="O180" s="35">
        <f>M260</f>
        <v>11296.823203306563</v>
      </c>
      <c r="P180" s="35">
        <f>(O180/(O170-O175))*(P170-P175)</f>
        <v>13381.85070011847</v>
      </c>
    </row>
    <row r="181" spans="1:18" s="14" customFormat="1" ht="14.45" hidden="1" customHeight="1" outlineLevel="1" x14ac:dyDescent="0.25">
      <c r="B181" s="14" t="s">
        <v>545</v>
      </c>
      <c r="E181" s="35">
        <f>G261</f>
        <v>463.34800000000001</v>
      </c>
      <c r="F181" s="35">
        <f>(E181/(E171-E176))*(F171-F176)</f>
        <v>762.0250665506386</v>
      </c>
      <c r="J181" s="35">
        <f>H261</f>
        <v>461.988</v>
      </c>
      <c r="K181" s="35">
        <f>(J181/(J171-J176))*(K171-K176)</f>
        <v>810.16454924235961</v>
      </c>
      <c r="N181" s="31"/>
      <c r="O181" s="35">
        <f>M261</f>
        <v>123.69288829662372</v>
      </c>
      <c r="P181" s="35">
        <f>(O181/(O171-O176))*(P171-P176)</f>
        <v>179.26216198450791</v>
      </c>
    </row>
    <row r="182" spans="1:18" s="14" customFormat="1" ht="14.45" hidden="1" customHeight="1" outlineLevel="1" x14ac:dyDescent="0.25">
      <c r="B182" s="14" t="s">
        <v>546</v>
      </c>
      <c r="E182" s="35">
        <f>G262</f>
        <v>-21570.651000000002</v>
      </c>
      <c r="F182" s="35">
        <f>(E182/(E172-E177))*(F172-F177)</f>
        <v>-21522.025853852836</v>
      </c>
      <c r="J182" s="35">
        <f>H262</f>
        <v>-22972.969274634012</v>
      </c>
      <c r="K182" s="35">
        <f>(J182/(J172-J177))*(K172-K177)</f>
        <v>-22945.667880575089</v>
      </c>
      <c r="N182" s="31"/>
      <c r="O182" s="35">
        <f>M262</f>
        <v>-23679.146403411905</v>
      </c>
      <c r="P182" s="35">
        <f>(O182/(O172-O177))*(P172-P177)</f>
        <v>-23658.498810104262</v>
      </c>
    </row>
    <row r="183" spans="1:18" s="14" customFormat="1" ht="14.45" hidden="1" customHeight="1" outlineLevel="1" x14ac:dyDescent="0.25">
      <c r="N183" s="31"/>
    </row>
    <row r="184" spans="1:18" s="14" customFormat="1" collapsed="1" x14ac:dyDescent="0.25">
      <c r="A184" s="197"/>
      <c r="B184" s="197" t="s">
        <v>149</v>
      </c>
      <c r="C184" s="6"/>
      <c r="D184" s="14" t="s">
        <v>143</v>
      </c>
      <c r="E184" s="35">
        <f t="shared" ref="E184:F187" si="110">E169-E174-E179</f>
        <v>-16787.242152499486</v>
      </c>
      <c r="F184" s="35">
        <f t="shared" si="110"/>
        <v>-14480.014231974876</v>
      </c>
      <c r="G184" s="199">
        <f>F184/E184-1</f>
        <v>-0.13743936613084973</v>
      </c>
      <c r="H184" s="202">
        <f>G184/G144</f>
        <v>-1.3743936613084962</v>
      </c>
      <c r="J184" s="35">
        <f t="shared" ref="J184:K187" si="111">J169-J174-J179</f>
        <v>-5046.6811196972085</v>
      </c>
      <c r="K184" s="35">
        <f t="shared" si="111"/>
        <v>-307.15909319601633</v>
      </c>
      <c r="L184" s="199">
        <f>K184/J184-1</f>
        <v>-0.93913641739772824</v>
      </c>
      <c r="M184" s="202">
        <f>L184/L144</f>
        <v>-9.3913641739772746</v>
      </c>
      <c r="N184" s="31"/>
      <c r="O184" s="35">
        <f t="shared" ref="O184:P187" si="112">O169-O174-O179</f>
        <v>-6244.1279354405142</v>
      </c>
      <c r="P184" s="35">
        <f t="shared" si="112"/>
        <v>-3624.0391158788043</v>
      </c>
      <c r="Q184" s="199">
        <f>P184/O184-1</f>
        <v>-0.41960844599140434</v>
      </c>
      <c r="R184" s="202">
        <f>Q184/Q144</f>
        <v>-4.1960844599140401</v>
      </c>
    </row>
    <row r="185" spans="1:18" s="14" customFormat="1" ht="14.45" hidden="1" customHeight="1" outlineLevel="1" x14ac:dyDescent="0.25">
      <c r="A185" s="197"/>
      <c r="B185" s="197" t="s">
        <v>544</v>
      </c>
      <c r="E185" s="35">
        <f t="shared" si="110"/>
        <v>8912.9898475005084</v>
      </c>
      <c r="F185" s="35">
        <f t="shared" si="110"/>
        <v>11289.478055442767</v>
      </c>
      <c r="G185" s="173">
        <f t="shared" ref="G185:G187" si="113">F185/E185-1</f>
        <v>0.26663198865964177</v>
      </c>
      <c r="H185" s="196">
        <f>G185/G145</f>
        <v>2.6663198865964155</v>
      </c>
      <c r="J185" s="35">
        <f t="shared" si="111"/>
        <v>21469.787767253802</v>
      </c>
      <c r="K185" s="35">
        <f t="shared" si="111"/>
        <v>25182.374507920595</v>
      </c>
      <c r="L185" s="173">
        <f t="shared" ref="L185:L187" si="114">K185/J185-1</f>
        <v>0.17292144575035406</v>
      </c>
      <c r="M185" s="196">
        <f>L185/L145</f>
        <v>1.7292144575035391</v>
      </c>
      <c r="N185" s="31"/>
      <c r="O185" s="35">
        <f t="shared" si="112"/>
        <v>23961.101845214951</v>
      </c>
      <c r="P185" s="35">
        <f t="shared" si="112"/>
        <v>28383.544801263044</v>
      </c>
      <c r="Q185" s="173">
        <f t="shared" ref="Q185:Q187" si="115">P185/O185-1</f>
        <v>0.18456759562295577</v>
      </c>
      <c r="R185" s="196">
        <f>Q185/Q145</f>
        <v>1.8456759562295562</v>
      </c>
    </row>
    <row r="186" spans="1:18" s="14" customFormat="1" ht="14.45" hidden="1" customHeight="1" outlineLevel="1" x14ac:dyDescent="0.25">
      <c r="A186" s="197"/>
      <c r="B186" s="197" t="s">
        <v>545</v>
      </c>
      <c r="E186" s="35">
        <f t="shared" si="110"/>
        <v>1127.0799999999992</v>
      </c>
      <c r="F186" s="35">
        <f t="shared" si="110"/>
        <v>1853.6029334493578</v>
      </c>
      <c r="G186" s="173">
        <f t="shared" si="113"/>
        <v>0.64460635753394535</v>
      </c>
      <c r="H186" s="196">
        <f>G186/G146</f>
        <v>6.4460635753394477</v>
      </c>
      <c r="J186" s="35">
        <f t="shared" si="111"/>
        <v>850.02952500000038</v>
      </c>
      <c r="K186" s="35">
        <f t="shared" si="111"/>
        <v>1490.6529757576441</v>
      </c>
      <c r="L186" s="173">
        <f t="shared" si="114"/>
        <v>0.75364846974891075</v>
      </c>
      <c r="M186" s="196">
        <f>L186/L146</f>
        <v>7.5364846974891009</v>
      </c>
      <c r="N186" s="31"/>
      <c r="O186" s="35">
        <f t="shared" si="112"/>
        <v>2563.4898244623973</v>
      </c>
      <c r="P186" s="35">
        <f t="shared" si="112"/>
        <v>3715.1426770504104</v>
      </c>
      <c r="Q186" s="173">
        <f t="shared" si="115"/>
        <v>0.4492519695604924</v>
      </c>
      <c r="R186" s="196">
        <f>Q186/Q146</f>
        <v>4.49251969560492</v>
      </c>
    </row>
    <row r="187" spans="1:18" s="14" customFormat="1" ht="14.45" hidden="1" customHeight="1" outlineLevel="1" x14ac:dyDescent="0.25">
      <c r="A187" s="197"/>
      <c r="B187" s="197" t="s">
        <v>546</v>
      </c>
      <c r="E187" s="35">
        <f t="shared" si="110"/>
        <v>-26827.312000000002</v>
      </c>
      <c r="F187" s="35">
        <f t="shared" si="110"/>
        <v>-26766.837146147162</v>
      </c>
      <c r="G187" s="173">
        <f t="shared" si="113"/>
        <v>-2.2542271045582485E-3</v>
      </c>
      <c r="H187" s="196">
        <f>G187/G147</f>
        <v>-2.2542271045582464E-2</v>
      </c>
      <c r="J187" s="35">
        <f t="shared" si="111"/>
        <v>-27366.498411951015</v>
      </c>
      <c r="K187" s="35">
        <f t="shared" si="111"/>
        <v>-27333.97568716844</v>
      </c>
      <c r="L187" s="173">
        <f t="shared" si="114"/>
        <v>-1.1884138150598522E-3</v>
      </c>
      <c r="M187" s="196">
        <f>L187/L147</f>
        <v>-1.1884138150598512E-2</v>
      </c>
      <c r="N187" s="31"/>
      <c r="O187" s="35">
        <f t="shared" si="112"/>
        <v>-32768.719605117854</v>
      </c>
      <c r="P187" s="35">
        <f t="shared" si="112"/>
        <v>-32740.146142878468</v>
      </c>
      <c r="Q187" s="173">
        <f t="shared" si="115"/>
        <v>-8.7197371712144367E-4</v>
      </c>
      <c r="R187" s="196">
        <f>Q187/Q147</f>
        <v>-8.7197371712144298E-3</v>
      </c>
    </row>
    <row r="188" spans="1:18" s="14" customFormat="1" ht="14.45" hidden="1" customHeight="1" outlineLevel="1" x14ac:dyDescent="0.25">
      <c r="A188" s="197"/>
      <c r="B188" s="197"/>
      <c r="M188" s="31"/>
      <c r="N188" s="31"/>
      <c r="O188" s="31"/>
      <c r="P188" s="31"/>
      <c r="Q188" s="31"/>
    </row>
    <row r="189" spans="1:18" s="14" customFormat="1" collapsed="1" x14ac:dyDescent="0.25">
      <c r="A189" s="197" t="s">
        <v>153</v>
      </c>
      <c r="B189" s="197"/>
      <c r="C189" s="6"/>
      <c r="E189" s="35"/>
      <c r="H189" s="30"/>
      <c r="M189" s="31"/>
      <c r="N189" s="31"/>
      <c r="O189" s="31"/>
      <c r="P189" s="31"/>
      <c r="Q189" s="31"/>
    </row>
    <row r="190" spans="1:18" s="14" customFormat="1" x14ac:dyDescent="0.25">
      <c r="C190" s="29"/>
      <c r="H190" s="30"/>
      <c r="M190" s="31"/>
      <c r="N190" s="31"/>
      <c r="O190" s="31"/>
      <c r="P190" s="31"/>
      <c r="Q190" s="31"/>
    </row>
    <row r="191" spans="1:18" s="14" customFormat="1" x14ac:dyDescent="0.25">
      <c r="B191" s="14" t="s">
        <v>151</v>
      </c>
      <c r="C191" s="6"/>
      <c r="H191" s="31"/>
      <c r="M191" s="31"/>
      <c r="N191" s="31"/>
      <c r="O191" s="31"/>
      <c r="P191" s="31"/>
      <c r="Q191" s="31"/>
    </row>
    <row r="192" spans="1:18" s="203" customFormat="1" ht="15.75" thickBot="1" x14ac:dyDescent="0.3">
      <c r="C192" s="204"/>
      <c r="H192" s="206"/>
      <c r="M192" s="205"/>
      <c r="N192" s="205"/>
      <c r="O192" s="205"/>
      <c r="P192" s="205"/>
      <c r="Q192" s="205"/>
    </row>
    <row r="193" spans="1:18" s="14" customFormat="1" ht="15.75" thickTop="1" x14ac:dyDescent="0.25">
      <c r="C193" s="6"/>
      <c r="H193" s="31"/>
      <c r="M193" s="31"/>
      <c r="N193" s="31"/>
      <c r="O193" s="31"/>
      <c r="P193" s="31"/>
      <c r="Q193" s="31"/>
    </row>
    <row r="194" spans="1:18" s="14" customFormat="1" x14ac:dyDescent="0.25">
      <c r="A194" s="31" t="s">
        <v>161</v>
      </c>
      <c r="C194" s="6"/>
      <c r="D194" s="14" t="s">
        <v>169</v>
      </c>
      <c r="E194" s="223">
        <v>414000</v>
      </c>
      <c r="H194" s="31"/>
      <c r="M194" s="31"/>
      <c r="N194" s="31"/>
      <c r="O194" s="31"/>
      <c r="P194" s="31"/>
      <c r="Q194" s="31"/>
    </row>
    <row r="195" spans="1:18" s="14" customFormat="1" x14ac:dyDescent="0.25">
      <c r="A195" s="29" t="s">
        <v>167</v>
      </c>
      <c r="C195" s="6"/>
      <c r="H195" s="31"/>
      <c r="N195" s="31"/>
      <c r="O195" s="31"/>
      <c r="P195" s="31"/>
    </row>
    <row r="196" spans="1:18" s="14" customFormat="1" x14ac:dyDescent="0.25">
      <c r="A196" s="217">
        <v>1.2</v>
      </c>
      <c r="B196" s="14" t="s">
        <v>164</v>
      </c>
      <c r="C196" s="6"/>
      <c r="D196" s="219">
        <f t="shared" ref="D196:R196" si="116">IF(OR((D311-D378)=0,D346=0),"",$A196*(D311-D378)/D346)</f>
        <v>0.62218346735506314</v>
      </c>
      <c r="E196" s="219">
        <f t="shared" si="116"/>
        <v>0.65146400862838927</v>
      </c>
      <c r="F196" s="219">
        <f t="shared" si="116"/>
        <v>0.65336197620866254</v>
      </c>
      <c r="G196" s="219">
        <f t="shared" si="116"/>
        <v>0.53679602299252482</v>
      </c>
      <c r="H196" s="219">
        <f t="shared" si="116"/>
        <v>0.45114191625740485</v>
      </c>
      <c r="I196" s="219">
        <f t="shared" si="116"/>
        <v>0.45284342865416694</v>
      </c>
      <c r="J196" s="219">
        <f t="shared" si="116"/>
        <v>0.45283114920692602</v>
      </c>
      <c r="K196" s="219">
        <f t="shared" si="116"/>
        <v>0.45281886935605542</v>
      </c>
      <c r="L196" s="219">
        <f t="shared" si="116"/>
        <v>0.4528065891015351</v>
      </c>
      <c r="M196" s="219">
        <f t="shared" si="116"/>
        <v>0.3664436857783972</v>
      </c>
      <c r="N196" s="219">
        <f t="shared" si="116"/>
        <v>0.36135822232690279</v>
      </c>
      <c r="O196" s="219">
        <f t="shared" si="116"/>
        <v>0.36859088057671824</v>
      </c>
      <c r="P196" s="219">
        <f t="shared" si="116"/>
        <v>0.37437010263234627</v>
      </c>
      <c r="Q196" s="219">
        <f t="shared" si="116"/>
        <v>0.36289347775685166</v>
      </c>
      <c r="R196" s="219" t="str">
        <f t="shared" si="116"/>
        <v/>
      </c>
    </row>
    <row r="197" spans="1:18" s="14" customFormat="1" x14ac:dyDescent="0.25">
      <c r="A197" s="217">
        <v>1.4</v>
      </c>
      <c r="B197" s="14" t="s">
        <v>165</v>
      </c>
      <c r="C197" s="6"/>
      <c r="D197" s="219">
        <f t="shared" ref="D197:R197" si="117">IF(OR(D415=0,D346=0),"",$A197*D415/D346)</f>
        <v>0.32441119997300788</v>
      </c>
      <c r="E197" s="219">
        <f t="shared" si="117"/>
        <v>0.22128601510778703</v>
      </c>
      <c r="F197" s="219">
        <f t="shared" si="117"/>
        <v>4.4698124928466761E-2</v>
      </c>
      <c r="G197" s="219">
        <f t="shared" si="117"/>
        <v>-8.4521909545777554E-2</v>
      </c>
      <c r="H197" s="219">
        <f t="shared" si="117"/>
        <v>-0.1016652968692552</v>
      </c>
      <c r="I197" s="219">
        <f t="shared" si="117"/>
        <v>-0.11891021565433763</v>
      </c>
      <c r="J197" s="219">
        <f t="shared" si="117"/>
        <v>-0.11893517879937598</v>
      </c>
      <c r="K197" s="219">
        <f t="shared" si="117"/>
        <v>-0.11896014276496147</v>
      </c>
      <c r="L197" s="219">
        <f t="shared" si="117"/>
        <v>-0.11898511163312969</v>
      </c>
      <c r="M197" s="219">
        <f t="shared" si="117"/>
        <v>-0.12299483424636687</v>
      </c>
      <c r="N197" s="219">
        <f t="shared" si="117"/>
        <v>-0.11980109583605182</v>
      </c>
      <c r="O197" s="219">
        <f t="shared" si="117"/>
        <v>-0.11778879065418275</v>
      </c>
      <c r="P197" s="219">
        <f t="shared" si="117"/>
        <v>-0.1122916274552416</v>
      </c>
      <c r="Q197" s="219">
        <f t="shared" si="117"/>
        <v>-0.14097728581760804</v>
      </c>
      <c r="R197" s="219" t="str">
        <f t="shared" si="117"/>
        <v/>
      </c>
    </row>
    <row r="198" spans="1:18" s="14" customFormat="1" x14ac:dyDescent="0.25">
      <c r="A198" s="217">
        <v>3.3</v>
      </c>
      <c r="B198" s="14" t="s">
        <v>162</v>
      </c>
      <c r="C198" s="6"/>
      <c r="D198" s="219">
        <f t="shared" ref="D198:R198" si="118">IF(OR(D249=0,D346=0),"",$A198*D249/D346)</f>
        <v>-0.23397338246140501</v>
      </c>
      <c r="E198" s="219">
        <f t="shared" si="118"/>
        <v>-0.57961599397071528</v>
      </c>
      <c r="F198" s="219">
        <f t="shared" si="118"/>
        <v>-0.20296039725891002</v>
      </c>
      <c r="G198" s="219">
        <f t="shared" si="118"/>
        <v>-8.8347290369166623E-2</v>
      </c>
      <c r="H198" s="219">
        <f t="shared" si="118"/>
        <v>1.5151564964330698E-2</v>
      </c>
      <c r="I198" s="219">
        <f t="shared" si="118"/>
        <v>-2.2014325950845733E-2</v>
      </c>
      <c r="J198" s="219">
        <f t="shared" si="118"/>
        <v>-2.2014687754200516E-2</v>
      </c>
      <c r="K198" s="219">
        <f t="shared" si="118"/>
        <v>-2.2015049569447897E-2</v>
      </c>
      <c r="L198" s="219">
        <f t="shared" si="118"/>
        <v>-2.2015411396588466E-2</v>
      </c>
      <c r="M198" s="219">
        <f t="shared" si="118"/>
        <v>-5.1410912574691499E-2</v>
      </c>
      <c r="N198" s="219">
        <f t="shared" si="118"/>
        <v>-1.1906318310400022E-2</v>
      </c>
      <c r="O198" s="219">
        <f t="shared" si="118"/>
        <v>-8.0834445295420877E-3</v>
      </c>
      <c r="P198" s="219">
        <f t="shared" si="118"/>
        <v>-1.902242633718744E-2</v>
      </c>
      <c r="Q198" s="219">
        <f t="shared" si="118"/>
        <v>-0.11727408218302941</v>
      </c>
      <c r="R198" s="219" t="str">
        <f t="shared" si="118"/>
        <v/>
      </c>
    </row>
    <row r="199" spans="1:18" s="14" customFormat="1" x14ac:dyDescent="0.25">
      <c r="A199" s="217">
        <v>0.6</v>
      </c>
      <c r="B199" s="14" t="s">
        <v>166</v>
      </c>
      <c r="C199" s="6"/>
      <c r="D199" s="219">
        <f t="shared" ref="D199:R199" si="119">IF(D393=0,"",$A199*$E$194/D393)</f>
        <v>0.5108011951665915</v>
      </c>
      <c r="E199" s="219">
        <f t="shared" si="119"/>
        <v>0.6073264231797767</v>
      </c>
      <c r="F199" s="219">
        <f t="shared" si="119"/>
        <v>0.64698054605148858</v>
      </c>
      <c r="G199" s="219">
        <f t="shared" si="119"/>
        <v>0.51806389024468646</v>
      </c>
      <c r="H199" s="219">
        <f t="shared" si="119"/>
        <v>0.58761707349500814</v>
      </c>
      <c r="I199" s="219">
        <f t="shared" si="119"/>
        <v>0.60529434849420205</v>
      </c>
      <c r="J199" s="219">
        <f t="shared" si="119"/>
        <v>0.60529434849420205</v>
      </c>
      <c r="K199" s="219">
        <f t="shared" si="119"/>
        <v>0.60529434849420205</v>
      </c>
      <c r="L199" s="219">
        <f t="shared" si="119"/>
        <v>0.60529434849420205</v>
      </c>
      <c r="M199" s="219">
        <f t="shared" si="119"/>
        <v>0.5766601648833013</v>
      </c>
      <c r="N199" s="219">
        <f t="shared" si="119"/>
        <v>0.54239108956589133</v>
      </c>
      <c r="O199" s="219">
        <f t="shared" si="119"/>
        <v>0.53313935030016879</v>
      </c>
      <c r="P199" s="219">
        <f t="shared" si="119"/>
        <v>0.53676195438040986</v>
      </c>
      <c r="Q199" s="219">
        <f t="shared" si="119"/>
        <v>0.54455347988258951</v>
      </c>
      <c r="R199" s="219" t="str">
        <f t="shared" si="119"/>
        <v/>
      </c>
    </row>
    <row r="200" spans="1:18" s="14" customFormat="1" x14ac:dyDescent="0.25">
      <c r="A200" s="217">
        <v>1</v>
      </c>
      <c r="B200" s="14" t="s">
        <v>163</v>
      </c>
      <c r="C200" s="6"/>
      <c r="D200" s="220">
        <f t="shared" ref="D200:R200" si="120">IF(OR(D209=0,D346=0),"",$A200*D209/D346)</f>
        <v>0.70926540660976323</v>
      </c>
      <c r="E200" s="220">
        <f t="shared" si="120"/>
        <v>0.52266834542481888</v>
      </c>
      <c r="F200" s="220">
        <f t="shared" si="120"/>
        <v>0.37003756450300579</v>
      </c>
      <c r="G200" s="220">
        <f t="shared" si="120"/>
        <v>0.91003742077871541</v>
      </c>
      <c r="H200" s="220">
        <f t="shared" si="120"/>
        <v>1.4140377741940191</v>
      </c>
      <c r="I200" s="220">
        <f t="shared" si="120"/>
        <v>0.36178463707187769</v>
      </c>
      <c r="J200" s="220">
        <f t="shared" si="120"/>
        <v>0.36179058296800432</v>
      </c>
      <c r="K200" s="220">
        <f t="shared" si="120"/>
        <v>0.36179652905957455</v>
      </c>
      <c r="L200" s="220">
        <f t="shared" si="120"/>
        <v>0.3618024753465981</v>
      </c>
      <c r="M200" s="220">
        <f t="shared" si="120"/>
        <v>1.5381438573079718</v>
      </c>
      <c r="N200" s="220">
        <f t="shared" si="120"/>
        <v>1.665009262976074</v>
      </c>
      <c r="O200" s="220">
        <f t="shared" si="120"/>
        <v>1.6794644153325688</v>
      </c>
      <c r="P200" s="220">
        <f t="shared" si="120"/>
        <v>1.6363287917748146</v>
      </c>
      <c r="Q200" s="220">
        <f t="shared" si="120"/>
        <v>1.20615196448534</v>
      </c>
      <c r="R200" s="220" t="str">
        <f t="shared" si="120"/>
        <v/>
      </c>
    </row>
    <row r="201" spans="1:18" s="14" customFormat="1" x14ac:dyDescent="0.25">
      <c r="A201" s="29" t="s">
        <v>168</v>
      </c>
      <c r="C201" s="6"/>
      <c r="D201" s="221">
        <f>IF(AND(ISNUMBER(D196),ISNUMBER(D197),ISNUMBER(D198),ISNUMBER(D199),ISNUMBER(D200)),SUM(D196:D200),"")</f>
        <v>1.9326878866430206</v>
      </c>
      <c r="E201" s="221">
        <f t="shared" ref="E201:R201" si="121">IF(AND(ISNUMBER(E196),ISNUMBER(E197),ISNUMBER(E198),ISNUMBER(E199),ISNUMBER(E200)),SUM(E196:E200),"")</f>
        <v>1.4231287983700565</v>
      </c>
      <c r="F201" s="221">
        <f t="shared" si="121"/>
        <v>1.5121178144327139</v>
      </c>
      <c r="G201" s="221">
        <f t="shared" si="121"/>
        <v>1.7920281341009825</v>
      </c>
      <c r="H201" s="221">
        <f t="shared" si="121"/>
        <v>2.3662830320415074</v>
      </c>
      <c r="I201" s="221">
        <f t="shared" si="121"/>
        <v>1.2789978726150633</v>
      </c>
      <c r="J201" s="221">
        <f t="shared" si="121"/>
        <v>1.278966214115556</v>
      </c>
      <c r="K201" s="221">
        <f t="shared" si="121"/>
        <v>1.2789345545754227</v>
      </c>
      <c r="L201" s="221">
        <f t="shared" si="121"/>
        <v>1.2789028899126171</v>
      </c>
      <c r="M201" s="221">
        <f t="shared" si="121"/>
        <v>2.3068419611486117</v>
      </c>
      <c r="N201" s="221">
        <f t="shared" si="121"/>
        <v>2.4370511607224161</v>
      </c>
      <c r="O201" s="221">
        <f t="shared" si="121"/>
        <v>2.455322411025731</v>
      </c>
      <c r="P201" s="221">
        <f t="shared" si="121"/>
        <v>2.4161467949951416</v>
      </c>
      <c r="Q201" s="221">
        <f t="shared" si="121"/>
        <v>1.8553475541241438</v>
      </c>
      <c r="R201" s="221" t="str">
        <f t="shared" si="121"/>
        <v/>
      </c>
    </row>
    <row r="202" spans="1:18" s="14" customFormat="1" x14ac:dyDescent="0.25">
      <c r="A202" s="218">
        <v>1.81</v>
      </c>
      <c r="B202" s="14" t="s">
        <v>177</v>
      </c>
      <c r="C202" s="6"/>
      <c r="D202" s="14" t="b">
        <f>IF(ISNUMBER(D201),IF(D201&lt;$A202,TRUE,FALSE),"")</f>
        <v>0</v>
      </c>
      <c r="E202" s="14" t="b">
        <f t="shared" ref="E202:R202" si="122">IF(ISNUMBER(E201),IF(E201&lt;$A202,TRUE,FALSE),"")</f>
        <v>1</v>
      </c>
      <c r="F202" s="14" t="b">
        <f t="shared" si="122"/>
        <v>1</v>
      </c>
      <c r="G202" s="14" t="b">
        <f t="shared" si="122"/>
        <v>1</v>
      </c>
      <c r="H202" s="14" t="b">
        <f t="shared" si="122"/>
        <v>0</v>
      </c>
      <c r="I202" s="14" t="b">
        <f t="shared" si="122"/>
        <v>1</v>
      </c>
      <c r="J202" s="14" t="b">
        <f t="shared" si="122"/>
        <v>1</v>
      </c>
      <c r="K202" s="14" t="b">
        <f t="shared" si="122"/>
        <v>1</v>
      </c>
      <c r="L202" s="14" t="b">
        <f t="shared" si="122"/>
        <v>1</v>
      </c>
      <c r="M202" s="14" t="b">
        <f t="shared" si="122"/>
        <v>0</v>
      </c>
      <c r="N202" s="14" t="b">
        <f t="shared" si="122"/>
        <v>0</v>
      </c>
      <c r="O202" s="14" t="b">
        <f t="shared" si="122"/>
        <v>0</v>
      </c>
      <c r="P202" s="14" t="b">
        <f t="shared" si="122"/>
        <v>0</v>
      </c>
      <c r="Q202" s="14" t="b">
        <f t="shared" si="122"/>
        <v>0</v>
      </c>
      <c r="R202" s="14" t="str">
        <f t="shared" si="122"/>
        <v/>
      </c>
    </row>
    <row r="203" spans="1:18" s="14" customFormat="1" x14ac:dyDescent="0.25">
      <c r="A203" s="217"/>
      <c r="B203" s="14" t="s">
        <v>175</v>
      </c>
      <c r="C203" s="6"/>
      <c r="D203" s="14" t="b">
        <f>IF(ISNUMBER(D201),IF(AND(D201&gt;=$A202,D201&lt;=$A204),TRUE,FALSE),"")</f>
        <v>1</v>
      </c>
      <c r="E203" s="14" t="b">
        <f t="shared" ref="E203:R203" si="123">IF(ISNUMBER(E201),IF(AND(E201&gt;=$A202,E201&lt;=$A204),TRUE,FALSE),"")</f>
        <v>0</v>
      </c>
      <c r="F203" s="14" t="b">
        <f t="shared" si="123"/>
        <v>0</v>
      </c>
      <c r="G203" s="14" t="b">
        <f t="shared" si="123"/>
        <v>0</v>
      </c>
      <c r="H203" s="14" t="b">
        <f t="shared" si="123"/>
        <v>1</v>
      </c>
      <c r="I203" s="14" t="b">
        <f t="shared" si="123"/>
        <v>0</v>
      </c>
      <c r="J203" s="14" t="b">
        <f t="shared" si="123"/>
        <v>0</v>
      </c>
      <c r="K203" s="14" t="b">
        <f t="shared" si="123"/>
        <v>0</v>
      </c>
      <c r="L203" s="14" t="b">
        <f t="shared" si="123"/>
        <v>0</v>
      </c>
      <c r="M203" s="14" t="b">
        <f t="shared" si="123"/>
        <v>1</v>
      </c>
      <c r="N203" s="14" t="b">
        <f t="shared" si="123"/>
        <v>1</v>
      </c>
      <c r="O203" s="14" t="b">
        <f t="shared" si="123"/>
        <v>1</v>
      </c>
      <c r="P203" s="14" t="b">
        <f t="shared" si="123"/>
        <v>1</v>
      </c>
      <c r="Q203" s="14" t="b">
        <f t="shared" si="123"/>
        <v>1</v>
      </c>
      <c r="R203" s="14" t="str">
        <f t="shared" si="123"/>
        <v/>
      </c>
    </row>
    <row r="204" spans="1:18" s="14" customFormat="1" x14ac:dyDescent="0.25">
      <c r="A204" s="222">
        <v>2.6749999999999998</v>
      </c>
      <c r="B204" s="26" t="s">
        <v>176</v>
      </c>
      <c r="C204" s="6"/>
      <c r="D204" s="14" t="b">
        <f>IF(ISNUMBER(D201),IF(D201&gt;$A204,TRUE,FALSE),"")</f>
        <v>0</v>
      </c>
      <c r="E204" s="14" t="b">
        <f t="shared" ref="E204:R204" si="124">IF(ISNUMBER(E201),IF(E201&gt;$A204,TRUE,FALSE),"")</f>
        <v>0</v>
      </c>
      <c r="F204" s="14" t="b">
        <f t="shared" si="124"/>
        <v>0</v>
      </c>
      <c r="G204" s="14" t="b">
        <f t="shared" si="124"/>
        <v>0</v>
      </c>
      <c r="H204" s="14" t="b">
        <f t="shared" si="124"/>
        <v>0</v>
      </c>
      <c r="I204" s="14" t="b">
        <f t="shared" si="124"/>
        <v>0</v>
      </c>
      <c r="J204" s="14" t="b">
        <f t="shared" si="124"/>
        <v>0</v>
      </c>
      <c r="K204" s="14" t="b">
        <f t="shared" si="124"/>
        <v>0</v>
      </c>
      <c r="L204" s="14" t="b">
        <f t="shared" si="124"/>
        <v>0</v>
      </c>
      <c r="M204" s="14" t="b">
        <f t="shared" si="124"/>
        <v>0</v>
      </c>
      <c r="N204" s="14" t="b">
        <f t="shared" si="124"/>
        <v>0</v>
      </c>
      <c r="O204" s="14" t="b">
        <f t="shared" si="124"/>
        <v>0</v>
      </c>
      <c r="P204" s="14" t="b">
        <f t="shared" si="124"/>
        <v>0</v>
      </c>
      <c r="Q204" s="14" t="b">
        <f t="shared" si="124"/>
        <v>0</v>
      </c>
      <c r="R204" s="14" t="str">
        <f t="shared" si="124"/>
        <v/>
      </c>
    </row>
    <row r="205" spans="1:18" s="203" customFormat="1" ht="15.75" thickBot="1" x14ac:dyDescent="0.3">
      <c r="C205" s="204"/>
      <c r="H205" s="206"/>
      <c r="M205" s="205"/>
      <c r="N205" s="205"/>
      <c r="O205" s="205"/>
      <c r="P205" s="205"/>
      <c r="Q205" s="205"/>
    </row>
    <row r="206" spans="1:18" s="14" customFormat="1" ht="15.75" thickTop="1" x14ac:dyDescent="0.25">
      <c r="C206" s="6"/>
      <c r="H206" s="31"/>
      <c r="M206" s="31"/>
      <c r="N206" s="31"/>
      <c r="O206" s="31"/>
      <c r="P206" s="31"/>
      <c r="Q206" s="31"/>
    </row>
    <row r="207" spans="1:18" s="14" customFormat="1" x14ac:dyDescent="0.25">
      <c r="A207" s="14" t="s">
        <v>152</v>
      </c>
      <c r="B207" s="29"/>
      <c r="C207" s="6"/>
      <c r="H207" s="31"/>
      <c r="M207" s="31"/>
      <c r="N207" s="31"/>
      <c r="O207" s="31"/>
      <c r="P207" s="31"/>
      <c r="Q207" s="31"/>
    </row>
    <row r="208" spans="1:18" x14ac:dyDescent="0.25">
      <c r="B208" s="1" t="s">
        <v>111</v>
      </c>
      <c r="D208" s="10"/>
      <c r="E208" s="10"/>
      <c r="F208" s="10"/>
      <c r="G208" s="11"/>
      <c r="H208" s="12"/>
      <c r="I208" s="13"/>
      <c r="J208" s="13"/>
      <c r="K208" s="13"/>
      <c r="L208" s="13"/>
      <c r="M208" s="12"/>
      <c r="N208" s="12"/>
      <c r="O208" s="12"/>
      <c r="P208" s="12"/>
      <c r="Q208" s="12"/>
      <c r="R208" s="14"/>
    </row>
    <row r="209" spans="1:18" s="97" customFormat="1" ht="14.45" hidden="1" customHeight="1" outlineLevel="1" x14ac:dyDescent="0.25">
      <c r="A209" s="97" t="str">
        <f>'P&amp;L'!A5</f>
        <v>Revenue</v>
      </c>
      <c r="C209" s="148"/>
      <c r="D209" s="151">
        <f>'P&amp;L'!D5</f>
        <v>611456</v>
      </c>
      <c r="E209" s="151">
        <f>'P&amp;L'!E5</f>
        <v>374046</v>
      </c>
      <c r="F209" s="151">
        <f>'P&amp;L'!F5</f>
        <v>242936</v>
      </c>
      <c r="G209" s="151">
        <f>'P&amp;L'!G5</f>
        <v>688040.5</v>
      </c>
      <c r="H209" s="151">
        <f>'P&amp;L'!H5</f>
        <v>995761.36118841497</v>
      </c>
      <c r="I209" s="151">
        <f>'P&amp;L'!I5</f>
        <v>248174.4851563923</v>
      </c>
      <c r="J209" s="151">
        <f>'P&amp;L'!J5</f>
        <v>248174.4851563923</v>
      </c>
      <c r="K209" s="151">
        <f>'P&amp;L'!K5</f>
        <v>248174.4851563923</v>
      </c>
      <c r="L209" s="151">
        <f>'P&amp;L'!L5</f>
        <v>248174.4851563923</v>
      </c>
      <c r="M209" s="151">
        <f>'P&amp;L'!M5</f>
        <v>992697.9406255692</v>
      </c>
      <c r="N209" s="151">
        <f>'P&amp;L'!N5</f>
        <v>1135356.4698469841</v>
      </c>
      <c r="O209" s="151">
        <f>'P&amp;L'!O5</f>
        <v>1175758.1284583295</v>
      </c>
      <c r="P209" s="151">
        <f>'P&amp;L'!P5</f>
        <v>1146099.0993041701</v>
      </c>
      <c r="Q209" s="151">
        <f>'P&amp;L'!Q5</f>
        <v>821768.71368227911</v>
      </c>
      <c r="R209" s="14"/>
    </row>
    <row r="210" spans="1:18" s="97" customFormat="1" ht="14.45" hidden="1" customHeight="1" outlineLevel="1" x14ac:dyDescent="0.25">
      <c r="B210" s="97" t="str">
        <f>'P&amp;L'!B6</f>
        <v>Biz1</v>
      </c>
      <c r="C210" s="149"/>
      <c r="D210" s="96">
        <f>'P&amp;L'!D6</f>
        <v>400939</v>
      </c>
      <c r="E210" s="96">
        <f>'P&amp;L'!E6</f>
        <v>229083</v>
      </c>
      <c r="F210" s="96">
        <f>'P&amp;L'!F6</f>
        <v>161309</v>
      </c>
      <c r="G210" s="96">
        <f>'P&amp;L'!G6</f>
        <v>598905.5</v>
      </c>
      <c r="H210" s="96">
        <f>'P&amp;L'!H6</f>
        <v>870658.12</v>
      </c>
      <c r="I210" s="96">
        <f>'P&amp;L'!I6</f>
        <v>213496.41063</v>
      </c>
      <c r="J210" s="96">
        <f>'P&amp;L'!J6</f>
        <v>213496.41063</v>
      </c>
      <c r="K210" s="96">
        <f>'P&amp;L'!K6</f>
        <v>213496.41063</v>
      </c>
      <c r="L210" s="96">
        <f>'P&amp;L'!L6</f>
        <v>213496.41063</v>
      </c>
      <c r="M210" s="96">
        <f>'P&amp;L'!M6</f>
        <v>853985.64251999999</v>
      </c>
      <c r="N210" s="96">
        <f>'P&amp;L'!N6</f>
        <v>992948.46754574112</v>
      </c>
      <c r="O210" s="96">
        <f>'P&amp;L'!O6</f>
        <v>1029545.0003627623</v>
      </c>
      <c r="P210" s="96">
        <f>'P&amp;L'!P6</f>
        <v>999885.97120860277</v>
      </c>
      <c r="Q210" s="96">
        <f>'P&amp;L'!Q6</f>
        <v>675555.58558671176</v>
      </c>
      <c r="R210" s="14"/>
    </row>
    <row r="211" spans="1:18" s="97" customFormat="1" ht="14.45" hidden="1" customHeight="1" outlineLevel="1" x14ac:dyDescent="0.25">
      <c r="B211" s="97" t="str">
        <f>'P&amp;L'!B7</f>
        <v>Biz2</v>
      </c>
      <c r="C211" s="149"/>
      <c r="D211" s="96">
        <f>'P&amp;L'!D7</f>
        <v>209873</v>
      </c>
      <c r="E211" s="96">
        <f>'P&amp;L'!E7</f>
        <v>143868</v>
      </c>
      <c r="F211" s="96">
        <f>'P&amp;L'!F7</f>
        <v>80734</v>
      </c>
      <c r="G211" s="96">
        <f>'P&amp;L'!G7</f>
        <v>88535</v>
      </c>
      <c r="H211" s="96">
        <f>'P&amp;L'!H7</f>
        <v>124787</v>
      </c>
      <c r="I211" s="96">
        <f>'P&amp;L'!I7</f>
        <v>34555.021887524745</v>
      </c>
      <c r="J211" s="96">
        <f>'P&amp;L'!J7</f>
        <v>34555.021887524745</v>
      </c>
      <c r="K211" s="96">
        <f>'P&amp;L'!K7</f>
        <v>34555.021887524745</v>
      </c>
      <c r="L211" s="96">
        <f>'P&amp;L'!L7</f>
        <v>34555.021887524745</v>
      </c>
      <c r="M211" s="96">
        <f>'P&amp;L'!M7</f>
        <v>138220.08755009898</v>
      </c>
      <c r="N211" s="96">
        <f>'P&amp;L'!N7</f>
        <v>141852.95460371629</v>
      </c>
      <c r="O211" s="96">
        <f>'P&amp;L'!O7</f>
        <v>145399.27846880918</v>
      </c>
      <c r="P211" s="96">
        <f>'P&amp;L'!P7</f>
        <v>145399.27846880918</v>
      </c>
      <c r="Q211" s="96">
        <f>'P&amp;L'!Q7</f>
        <v>145399.27846880918</v>
      </c>
      <c r="R211" s="14"/>
    </row>
    <row r="212" spans="1:18" s="97" customFormat="1" ht="14.45" hidden="1" customHeight="1" outlineLevel="1" x14ac:dyDescent="0.25">
      <c r="B212" s="97" t="str">
        <f>'P&amp;L'!B8</f>
        <v>CORP</v>
      </c>
      <c r="C212" s="149"/>
      <c r="D212" s="96">
        <f>'P&amp;L'!D8</f>
        <v>644</v>
      </c>
      <c r="E212" s="96">
        <f>'P&amp;L'!E8</f>
        <v>1095</v>
      </c>
      <c r="F212" s="96">
        <f>'P&amp;L'!F8</f>
        <v>893</v>
      </c>
      <c r="G212" s="96">
        <f>'P&amp;L'!G8</f>
        <v>600</v>
      </c>
      <c r="H212" s="96">
        <f>'P&amp;L'!H8</f>
        <v>316.24118841497773</v>
      </c>
      <c r="I212" s="96">
        <f>'P&amp;L'!I8</f>
        <v>123.0526388675615</v>
      </c>
      <c r="J212" s="96">
        <f>'P&amp;L'!J8</f>
        <v>123.0526388675615</v>
      </c>
      <c r="K212" s="96">
        <f>'P&amp;L'!K8</f>
        <v>123.0526388675615</v>
      </c>
      <c r="L212" s="96">
        <f>'P&amp;L'!L8</f>
        <v>123.0526388675615</v>
      </c>
      <c r="M212" s="96">
        <f>'P&amp;L'!M8</f>
        <v>492.21055547024599</v>
      </c>
      <c r="N212" s="96">
        <f>'P&amp;L'!N8</f>
        <v>555.04769752674724</v>
      </c>
      <c r="O212" s="96">
        <f>'P&amp;L'!O8</f>
        <v>813.84962675811391</v>
      </c>
      <c r="P212" s="96">
        <f>'P&amp;L'!P8</f>
        <v>813.84962675811391</v>
      </c>
      <c r="Q212" s="96">
        <f>'P&amp;L'!Q8</f>
        <v>813.84962675811391</v>
      </c>
      <c r="R212" s="14"/>
    </row>
    <row r="213" spans="1:18" s="97" customFormat="1" ht="14.45" hidden="1" customHeight="1" outlineLevel="1" x14ac:dyDescent="0.25">
      <c r="C213" s="147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14"/>
    </row>
    <row r="214" spans="1:18" s="97" customFormat="1" ht="14.45" hidden="1" customHeight="1" outlineLevel="1" collapsed="1" x14ac:dyDescent="0.25">
      <c r="B214" s="97" t="str">
        <f>'P&amp;L'!B10</f>
        <v>Cost of revenues</v>
      </c>
      <c r="C214" s="148"/>
      <c r="D214" s="151">
        <f>'P&amp;L'!D10</f>
        <v>602346.5</v>
      </c>
      <c r="E214" s="151">
        <f>'P&amp;L'!E10</f>
        <v>386821</v>
      </c>
      <c r="F214" s="151">
        <f>'P&amp;L'!F10</f>
        <v>230243</v>
      </c>
      <c r="G214" s="151">
        <f>'P&amp;L'!G10</f>
        <v>641732</v>
      </c>
      <c r="H214" s="151">
        <f>'P&amp;L'!H10</f>
        <v>915309.58129999996</v>
      </c>
      <c r="I214" s="151">
        <f>'P&amp;L'!I10</f>
        <v>228764.70106968499</v>
      </c>
      <c r="J214" s="151">
        <f>'P&amp;L'!J10</f>
        <v>228764.70106968499</v>
      </c>
      <c r="K214" s="151">
        <f>'P&amp;L'!K10</f>
        <v>228764.70106968499</v>
      </c>
      <c r="L214" s="151">
        <f>'P&amp;L'!L10</f>
        <v>228764.70106968499</v>
      </c>
      <c r="M214" s="151">
        <f>'P&amp;L'!M10</f>
        <v>915058.80427873996</v>
      </c>
      <c r="N214" s="151">
        <f>'P&amp;L'!N10</f>
        <v>1043428.2667850639</v>
      </c>
      <c r="O214" s="151">
        <f>'P&amp;L'!O10</f>
        <v>1079508.9098766253</v>
      </c>
      <c r="P214" s="151">
        <f>'P&amp;L'!P10</f>
        <v>1051712.8813309092</v>
      </c>
      <c r="Q214" s="151">
        <f>'P&amp;L'!Q10</f>
        <v>752091.91917688306</v>
      </c>
      <c r="R214" s="14"/>
    </row>
    <row r="215" spans="1:18" s="97" customFormat="1" ht="14.45" hidden="1" customHeight="1" outlineLevel="1" x14ac:dyDescent="0.25">
      <c r="B215" s="97" t="str">
        <f>'P&amp;L'!B11</f>
        <v>Biz1</v>
      </c>
      <c r="C215" s="149"/>
      <c r="D215" s="96">
        <f>'P&amp;L'!D11</f>
        <v>403769</v>
      </c>
      <c r="E215" s="96">
        <f>'P&amp;L'!E11</f>
        <v>256093</v>
      </c>
      <c r="F215" s="96">
        <f>'P&amp;L'!F11</f>
        <v>161351</v>
      </c>
      <c r="G215" s="96">
        <f>'P&amp;L'!G11</f>
        <v>563940</v>
      </c>
      <c r="H215" s="96">
        <f>'P&amp;L'!H11</f>
        <v>800692.58129999996</v>
      </c>
      <c r="I215" s="96">
        <f>'P&amp;L'!I11</f>
        <v>197227.73449785</v>
      </c>
      <c r="J215" s="96">
        <f>'P&amp;L'!J11</f>
        <v>197227.73449785</v>
      </c>
      <c r="K215" s="96">
        <f>'P&amp;L'!K11</f>
        <v>197227.73449785</v>
      </c>
      <c r="L215" s="96">
        <f>'P&amp;L'!L11</f>
        <v>197227.73449785</v>
      </c>
      <c r="M215" s="96">
        <f>'P&amp;L'!M11</f>
        <v>788910.93799140002</v>
      </c>
      <c r="N215" s="96">
        <f>'P&amp;L'!N11</f>
        <v>913975.94370540534</v>
      </c>
      <c r="O215" s="96">
        <f>'P&amp;L'!O11</f>
        <v>946820.27871997526</v>
      </c>
      <c r="P215" s="96">
        <f>'P&amp;L'!P11</f>
        <v>919024.25017425907</v>
      </c>
      <c r="Q215" s="96">
        <f>'P&amp;L'!Q11</f>
        <v>619403.28802023304</v>
      </c>
      <c r="R215" s="14"/>
    </row>
    <row r="216" spans="1:18" s="97" customFormat="1" ht="14.45" hidden="1" customHeight="1" outlineLevel="1" x14ac:dyDescent="0.25">
      <c r="B216" s="97" t="str">
        <f>'P&amp;L'!B12</f>
        <v>Biz2</v>
      </c>
      <c r="C216" s="149"/>
      <c r="D216" s="96">
        <f>'P&amp;L'!D12</f>
        <v>198972</v>
      </c>
      <c r="E216" s="96">
        <f>'P&amp;L'!E12</f>
        <v>131166</v>
      </c>
      <c r="F216" s="96">
        <f>'P&amp;L'!F12</f>
        <v>69329</v>
      </c>
      <c r="G216" s="96">
        <f>'P&amp;L'!G12</f>
        <v>78283</v>
      </c>
      <c r="H216" s="96">
        <f>'P&amp;L'!H12</f>
        <v>114899</v>
      </c>
      <c r="I216" s="96">
        <f>'P&amp;L'!I12</f>
        <v>31536.96657183499</v>
      </c>
      <c r="J216" s="96">
        <f>'P&amp;L'!J12</f>
        <v>31536.96657183499</v>
      </c>
      <c r="K216" s="96">
        <f>'P&amp;L'!K12</f>
        <v>31536.96657183499</v>
      </c>
      <c r="L216" s="96">
        <f>'P&amp;L'!L12</f>
        <v>31536.96657183499</v>
      </c>
      <c r="M216" s="96">
        <f>'P&amp;L'!M12</f>
        <v>126147.86628733996</v>
      </c>
      <c r="N216" s="96">
        <f>'P&amp;L'!N12</f>
        <v>129452.32307965856</v>
      </c>
      <c r="O216" s="96">
        <f>'P&amp;L'!O12</f>
        <v>132688.63115665002</v>
      </c>
      <c r="P216" s="96">
        <f>'P&amp;L'!P12</f>
        <v>132688.63115665002</v>
      </c>
      <c r="Q216" s="96">
        <f>'P&amp;L'!Q12</f>
        <v>132688.63115665002</v>
      </c>
      <c r="R216" s="14"/>
    </row>
    <row r="217" spans="1:18" s="97" customFormat="1" ht="14.45" hidden="1" customHeight="1" outlineLevel="1" x14ac:dyDescent="0.25">
      <c r="B217" s="97" t="str">
        <f>'P&amp;L'!B13</f>
        <v>CORP</v>
      </c>
      <c r="C217" s="149"/>
      <c r="D217" s="96">
        <f>'P&amp;L'!D13</f>
        <v>-394.5</v>
      </c>
      <c r="E217" s="96">
        <f>'P&amp;L'!E13</f>
        <v>-438</v>
      </c>
      <c r="F217" s="96">
        <f>'P&amp;L'!F13</f>
        <v>-437</v>
      </c>
      <c r="G217" s="96">
        <f>'P&amp;L'!G13</f>
        <v>-491</v>
      </c>
      <c r="H217" s="96">
        <f>'P&amp;L'!H13</f>
        <v>-282</v>
      </c>
      <c r="I217" s="96">
        <f>'P&amp;L'!I13</f>
        <v>0</v>
      </c>
      <c r="J217" s="96">
        <f>'P&amp;L'!J13</f>
        <v>0</v>
      </c>
      <c r="K217" s="96">
        <f>'P&amp;L'!K13</f>
        <v>0</v>
      </c>
      <c r="L217" s="96">
        <f>'P&amp;L'!L13</f>
        <v>0</v>
      </c>
      <c r="M217" s="96">
        <f>'P&amp;L'!M13</f>
        <v>0</v>
      </c>
      <c r="N217" s="96">
        <f>'P&amp;L'!N13</f>
        <v>0</v>
      </c>
      <c r="O217" s="96">
        <f>'P&amp;L'!O13</f>
        <v>0</v>
      </c>
      <c r="P217" s="96">
        <f>'P&amp;L'!P13</f>
        <v>0</v>
      </c>
      <c r="Q217" s="96">
        <f>'P&amp;L'!Q13</f>
        <v>0</v>
      </c>
      <c r="R217" s="14"/>
    </row>
    <row r="218" spans="1:18" s="97" customFormat="1" ht="14.45" hidden="1" customHeight="1" outlineLevel="1" x14ac:dyDescent="0.25">
      <c r="C218" s="147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4"/>
    </row>
    <row r="219" spans="1:18" s="97" customFormat="1" ht="14.45" hidden="1" customHeight="1" outlineLevel="1" collapsed="1" x14ac:dyDescent="0.25">
      <c r="A219" s="97" t="str">
        <f>'P&amp;L'!A15</f>
        <v>Gross margin $</v>
      </c>
      <c r="C219" s="148"/>
      <c r="D219" s="151">
        <f>'P&amp;L'!D15</f>
        <v>9109.5</v>
      </c>
      <c r="E219" s="151">
        <f>'P&amp;L'!E15</f>
        <v>-12775</v>
      </c>
      <c r="F219" s="151">
        <f>'P&amp;L'!F15</f>
        <v>12693</v>
      </c>
      <c r="G219" s="151">
        <f>'P&amp;L'!G15</f>
        <v>46308.5</v>
      </c>
      <c r="H219" s="151">
        <f>'P&amp;L'!H15</f>
        <v>80451.779888415011</v>
      </c>
      <c r="I219" s="151">
        <f>'P&amp;L'!I15</f>
        <v>19409.78408670731</v>
      </c>
      <c r="J219" s="151">
        <f>'P&amp;L'!J15</f>
        <v>19409.78408670731</v>
      </c>
      <c r="K219" s="151">
        <f>'P&amp;L'!K15</f>
        <v>19409.78408670731</v>
      </c>
      <c r="L219" s="151">
        <f>'P&amp;L'!L15</f>
        <v>19409.78408670731</v>
      </c>
      <c r="M219" s="151">
        <f>'P&amp;L'!M15</f>
        <v>77639.13634682924</v>
      </c>
      <c r="N219" s="151">
        <f>'P&amp;L'!N15</f>
        <v>91928.203061920271</v>
      </c>
      <c r="O219" s="151">
        <f>'P&amp;L'!O15</f>
        <v>96249.218581704248</v>
      </c>
      <c r="P219" s="151">
        <f>'P&amp;L'!P15</f>
        <v>94386.217973260966</v>
      </c>
      <c r="Q219" s="151">
        <f>'P&amp;L'!Q15</f>
        <v>69676.794505395985</v>
      </c>
      <c r="R219" s="14"/>
    </row>
    <row r="220" spans="1:18" s="97" customFormat="1" ht="14.45" hidden="1" customHeight="1" outlineLevel="1" x14ac:dyDescent="0.25">
      <c r="B220" s="97" t="str">
        <f>'P&amp;L'!B16</f>
        <v>Biz1</v>
      </c>
      <c r="C220" s="149"/>
      <c r="D220" s="96">
        <f>'P&amp;L'!D16</f>
        <v>-2830</v>
      </c>
      <c r="E220" s="96">
        <f>'P&amp;L'!E16</f>
        <v>-27010</v>
      </c>
      <c r="F220" s="96">
        <f>'P&amp;L'!F16</f>
        <v>-42</v>
      </c>
      <c r="G220" s="96">
        <f>'P&amp;L'!G16</f>
        <v>34965.5</v>
      </c>
      <c r="H220" s="96">
        <f>'P&amp;L'!H16</f>
        <v>69965.538700000034</v>
      </c>
      <c r="I220" s="96">
        <f>'P&amp;L'!I16</f>
        <v>16268.676132149994</v>
      </c>
      <c r="J220" s="96">
        <f>'P&amp;L'!J16</f>
        <v>16268.676132149994</v>
      </c>
      <c r="K220" s="96">
        <f>'P&amp;L'!K16</f>
        <v>16268.676132149994</v>
      </c>
      <c r="L220" s="96">
        <f>'P&amp;L'!L16</f>
        <v>16268.676132149994</v>
      </c>
      <c r="M220" s="96">
        <f>'P&amp;L'!M16</f>
        <v>65074.704528599977</v>
      </c>
      <c r="N220" s="96">
        <f>'P&amp;L'!N16</f>
        <v>78972.52384033578</v>
      </c>
      <c r="O220" s="96">
        <f>'P&amp;L'!O16</f>
        <v>82724.721642786986</v>
      </c>
      <c r="P220" s="96">
        <f>'P&amp;L'!P16</f>
        <v>80861.721034343704</v>
      </c>
      <c r="Q220" s="96">
        <f>'P&amp;L'!Q16</f>
        <v>56152.297566478723</v>
      </c>
      <c r="R220" s="14"/>
    </row>
    <row r="221" spans="1:18" s="97" customFormat="1" ht="14.45" hidden="1" customHeight="1" outlineLevel="1" x14ac:dyDescent="0.25">
      <c r="B221" s="97" t="str">
        <f>'P&amp;L'!B17</f>
        <v>Biz2</v>
      </c>
      <c r="C221" s="149"/>
      <c r="D221" s="96">
        <f>'P&amp;L'!D17</f>
        <v>10901</v>
      </c>
      <c r="E221" s="96">
        <f>'P&amp;L'!E17</f>
        <v>12702</v>
      </c>
      <c r="F221" s="96">
        <f>'P&amp;L'!F17</f>
        <v>11405</v>
      </c>
      <c r="G221" s="96">
        <f>'P&amp;L'!G17</f>
        <v>10252</v>
      </c>
      <c r="H221" s="96">
        <f>'P&amp;L'!H17</f>
        <v>9888</v>
      </c>
      <c r="I221" s="96">
        <f>'P&amp;L'!I17</f>
        <v>3018.0553156897549</v>
      </c>
      <c r="J221" s="96">
        <f>'P&amp;L'!J17</f>
        <v>3018.0553156897549</v>
      </c>
      <c r="K221" s="96">
        <f>'P&amp;L'!K17</f>
        <v>3018.0553156897549</v>
      </c>
      <c r="L221" s="96">
        <f>'P&amp;L'!L17</f>
        <v>3018.0553156897549</v>
      </c>
      <c r="M221" s="96">
        <f>'P&amp;L'!M17</f>
        <v>12072.22126275902</v>
      </c>
      <c r="N221" s="96">
        <f>'P&amp;L'!N17</f>
        <v>12400.631524057739</v>
      </c>
      <c r="O221" s="96">
        <f>'P&amp;L'!O17</f>
        <v>12710.647312159155</v>
      </c>
      <c r="P221" s="96">
        <f>'P&amp;L'!P17</f>
        <v>12710.647312159155</v>
      </c>
      <c r="Q221" s="96">
        <f>'P&amp;L'!Q17</f>
        <v>12710.647312159155</v>
      </c>
      <c r="R221" s="14"/>
    </row>
    <row r="222" spans="1:18" s="97" customFormat="1" ht="14.45" hidden="1" customHeight="1" outlineLevel="1" x14ac:dyDescent="0.25">
      <c r="B222" s="97" t="str">
        <f>'P&amp;L'!B18</f>
        <v>CORP</v>
      </c>
      <c r="C222" s="149"/>
      <c r="D222" s="96">
        <f>'P&amp;L'!D18</f>
        <v>1038.5</v>
      </c>
      <c r="E222" s="96">
        <f>'P&amp;L'!E18</f>
        <v>1533</v>
      </c>
      <c r="F222" s="96">
        <f>'P&amp;L'!F18</f>
        <v>1330</v>
      </c>
      <c r="G222" s="96">
        <f>'P&amp;L'!G18</f>
        <v>1091</v>
      </c>
      <c r="H222" s="96">
        <f>'P&amp;L'!H18</f>
        <v>598.24118841497773</v>
      </c>
      <c r="I222" s="96">
        <f>'P&amp;L'!I18</f>
        <v>123.0526388675615</v>
      </c>
      <c r="J222" s="96">
        <f>'P&amp;L'!J18</f>
        <v>123.0526388675615</v>
      </c>
      <c r="K222" s="96">
        <f>'P&amp;L'!K18</f>
        <v>123.0526388675615</v>
      </c>
      <c r="L222" s="96">
        <f>'P&amp;L'!L18</f>
        <v>123.0526388675615</v>
      </c>
      <c r="M222" s="96">
        <f>'P&amp;L'!M18</f>
        <v>492.21055547024599</v>
      </c>
      <c r="N222" s="96">
        <f>'P&amp;L'!N18</f>
        <v>555.04769752674724</v>
      </c>
      <c r="O222" s="96">
        <f>'P&amp;L'!O18</f>
        <v>813.84962675811391</v>
      </c>
      <c r="P222" s="96">
        <f>'P&amp;L'!P18</f>
        <v>813.84962675811391</v>
      </c>
      <c r="Q222" s="96">
        <f>'P&amp;L'!Q18</f>
        <v>813.84962675811391</v>
      </c>
      <c r="R222" s="14"/>
    </row>
    <row r="223" spans="1:18" s="97" customFormat="1" ht="14.45" hidden="1" customHeight="1" outlineLevel="1" x14ac:dyDescent="0.25">
      <c r="C223" s="147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4"/>
    </row>
    <row r="224" spans="1:18" s="97" customFormat="1" ht="14.45" hidden="1" customHeight="1" outlineLevel="1" collapsed="1" x14ac:dyDescent="0.25">
      <c r="A224" s="97" t="str">
        <f>'P&amp;L'!A20</f>
        <v>Gross margin %</v>
      </c>
      <c r="C224" s="148"/>
      <c r="D224" s="187">
        <f>'P&amp;L'!D20</f>
        <v>1.4898046629683902E-2</v>
      </c>
      <c r="E224" s="187">
        <f>'P&amp;L'!E20</f>
        <v>-3.415355330627784E-2</v>
      </c>
      <c r="F224" s="187">
        <f>'P&amp;L'!F20</f>
        <v>5.224832877794975E-2</v>
      </c>
      <c r="G224" s="187">
        <f>'P&amp;L'!G20</f>
        <v>6.7304904289791079E-2</v>
      </c>
      <c r="H224" s="187">
        <f>'P&amp;L'!H20</f>
        <v>8.0794237479146533E-2</v>
      </c>
      <c r="I224" s="187">
        <f>'P&amp;L'!I20</f>
        <v>7.8210232105350525E-2</v>
      </c>
      <c r="J224" s="187">
        <f>'P&amp;L'!J20</f>
        <v>7.8210232105350525E-2</v>
      </c>
      <c r="K224" s="187">
        <f>'P&amp;L'!K20</f>
        <v>7.8210232105350525E-2</v>
      </c>
      <c r="L224" s="187">
        <f>'P&amp;L'!L20</f>
        <v>7.8210232105350525E-2</v>
      </c>
      <c r="M224" s="187">
        <f>'P&amp;L'!M20</f>
        <v>7.8210232105350525E-2</v>
      </c>
      <c r="N224" s="187">
        <f>'P&amp;L'!N20</f>
        <v>8.0968581677532292E-2</v>
      </c>
      <c r="O224" s="187">
        <f>'P&amp;L'!O20</f>
        <v>8.186141031226174E-2</v>
      </c>
      <c r="P224" s="187">
        <f>'P&amp;L'!P20</f>
        <v>8.2354325232927558E-2</v>
      </c>
      <c r="Q224" s="187">
        <f>'P&amp;L'!Q20</f>
        <v>8.4788813866105844E-2</v>
      </c>
      <c r="R224" s="14"/>
    </row>
    <row r="225" spans="1:18" s="97" customFormat="1" ht="14.45" hidden="1" customHeight="1" outlineLevel="1" x14ac:dyDescent="0.25">
      <c r="B225" s="97" t="str">
        <f>'P&amp;L'!B21</f>
        <v>Biz1</v>
      </c>
      <c r="C225" s="149"/>
      <c r="D225" s="188">
        <f>'P&amp;L'!D21</f>
        <v>-7.0584303347890828E-3</v>
      </c>
      <c r="E225" s="188">
        <f>'P&amp;L'!E21</f>
        <v>-0.11790486417586639</v>
      </c>
      <c r="F225" s="188">
        <f>'P&amp;L'!F21</f>
        <v>-2.6036984917146593E-4</v>
      </c>
      <c r="G225" s="188">
        <f>'P&amp;L'!G21</f>
        <v>5.838233243808915E-2</v>
      </c>
      <c r="H225" s="188">
        <f>'P&amp;L'!H21</f>
        <v>8.0359370794129886E-2</v>
      </c>
      <c r="I225" s="188">
        <f>'P&amp;L'!I21</f>
        <v>7.6201169303705185E-2</v>
      </c>
      <c r="J225" s="188">
        <f>'P&amp;L'!J21</f>
        <v>7.6201169303705185E-2</v>
      </c>
      <c r="K225" s="188">
        <f>'P&amp;L'!K21</f>
        <v>7.6201169303705185E-2</v>
      </c>
      <c r="L225" s="188">
        <f>'P&amp;L'!L21</f>
        <v>7.6201169303705185E-2</v>
      </c>
      <c r="M225" s="188">
        <f>'P&amp;L'!M21</f>
        <v>7.6201169303705185E-2</v>
      </c>
      <c r="N225" s="188">
        <f>'P&amp;L'!N21</f>
        <v>7.9533355880523418E-2</v>
      </c>
      <c r="O225" s="188">
        <f>'P&amp;L'!O21</f>
        <v>8.0350758455083326E-2</v>
      </c>
      <c r="P225" s="188">
        <f>'P&amp;L'!P21</f>
        <v>8.0870942650193262E-2</v>
      </c>
      <c r="Q225" s="188">
        <f>'P&amp;L'!Q21</f>
        <v>8.312017362377537E-2</v>
      </c>
      <c r="R225" s="14"/>
    </row>
    <row r="226" spans="1:18" s="97" customFormat="1" ht="14.45" hidden="1" customHeight="1" outlineLevel="1" x14ac:dyDescent="0.25">
      <c r="B226" s="97" t="str">
        <f>'P&amp;L'!B22</f>
        <v>Biz2</v>
      </c>
      <c r="C226" s="149"/>
      <c r="D226" s="188">
        <f>'P&amp;L'!D22</f>
        <v>5.1940935708738138E-2</v>
      </c>
      <c r="E226" s="188">
        <f>'P&amp;L'!E22</f>
        <v>8.8289265159729749E-2</v>
      </c>
      <c r="F226" s="188">
        <f>'P&amp;L'!F22</f>
        <v>0.14126638095474026</v>
      </c>
      <c r="G226" s="188">
        <f>'P&amp;L'!G22</f>
        <v>0.11579601287626362</v>
      </c>
      <c r="H226" s="188">
        <f>'P&amp;L'!H22</f>
        <v>7.9239023295695862E-2</v>
      </c>
      <c r="I226" s="188">
        <f>'P&amp;L'!I22</f>
        <v>8.734057022198996E-2</v>
      </c>
      <c r="J226" s="188">
        <f>'P&amp;L'!J22</f>
        <v>8.734057022198996E-2</v>
      </c>
      <c r="K226" s="188">
        <f>'P&amp;L'!K22</f>
        <v>8.734057022198996E-2</v>
      </c>
      <c r="L226" s="188">
        <f>'P&amp;L'!L22</f>
        <v>8.734057022198996E-2</v>
      </c>
      <c r="M226" s="188">
        <f>'P&amp;L'!M22</f>
        <v>8.734057022198996E-2</v>
      </c>
      <c r="N226" s="188">
        <f>'P&amp;L'!N22</f>
        <v>8.7418916008485198E-2</v>
      </c>
      <c r="O226" s="188">
        <f>'P&amp;L'!O22</f>
        <v>8.7418916008485031E-2</v>
      </c>
      <c r="P226" s="188">
        <f>'P&amp;L'!P22</f>
        <v>8.7418916008485031E-2</v>
      </c>
      <c r="Q226" s="188">
        <f>'P&amp;L'!Q22</f>
        <v>8.7418916008485031E-2</v>
      </c>
      <c r="R226" s="14"/>
    </row>
    <row r="227" spans="1:18" s="97" customFormat="1" ht="14.45" hidden="1" customHeight="1" outlineLevel="1" x14ac:dyDescent="0.25">
      <c r="B227" s="97" t="str">
        <f>'P&amp;L'!B23</f>
        <v>CORP</v>
      </c>
      <c r="C227" s="149"/>
      <c r="D227" s="188">
        <f>'P&amp;L'!D23</f>
        <v>1.6125776397515528</v>
      </c>
      <c r="E227" s="188">
        <f>'P&amp;L'!E23</f>
        <v>1.4</v>
      </c>
      <c r="F227" s="188">
        <f>'P&amp;L'!F23</f>
        <v>1.4893617021276595</v>
      </c>
      <c r="G227" s="188">
        <f>'P&amp;L'!G23</f>
        <v>1.8183333333333334</v>
      </c>
      <c r="H227" s="188">
        <f>'P&amp;L'!H23</f>
        <v>1.8917244506112665</v>
      </c>
      <c r="I227" s="188">
        <f>'P&amp;L'!I23</f>
        <v>1</v>
      </c>
      <c r="J227" s="188">
        <f>'P&amp;L'!J23</f>
        <v>1</v>
      </c>
      <c r="K227" s="188">
        <f>'P&amp;L'!K23</f>
        <v>1</v>
      </c>
      <c r="L227" s="188">
        <f>'P&amp;L'!L23</f>
        <v>1</v>
      </c>
      <c r="M227" s="188">
        <f>'P&amp;L'!M23</f>
        <v>1</v>
      </c>
      <c r="N227" s="188">
        <f>'P&amp;L'!N23</f>
        <v>1</v>
      </c>
      <c r="O227" s="188">
        <f>'P&amp;L'!O23</f>
        <v>1</v>
      </c>
      <c r="P227" s="188">
        <f>'P&amp;L'!P23</f>
        <v>1</v>
      </c>
      <c r="Q227" s="188">
        <f>'P&amp;L'!Q23</f>
        <v>1</v>
      </c>
      <c r="R227" s="14"/>
    </row>
    <row r="228" spans="1:18" s="97" customFormat="1" ht="14.45" hidden="1" customHeight="1" outlineLevel="1" x14ac:dyDescent="0.25">
      <c r="C228" s="147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4"/>
    </row>
    <row r="229" spans="1:18" s="97" customFormat="1" ht="14.45" hidden="1" customHeight="1" outlineLevel="1" collapsed="1" x14ac:dyDescent="0.25">
      <c r="B229" s="97" t="str">
        <f>'P&amp;L'!B25</f>
        <v>Operating expense (G&amp;A)</v>
      </c>
      <c r="C229" s="148"/>
      <c r="D229" s="137">
        <f>'P&amp;L'!D25</f>
        <v>55996.417999999998</v>
      </c>
      <c r="E229" s="137">
        <f>'P&amp;L'!E25</f>
        <v>44240.400999999998</v>
      </c>
      <c r="F229" s="137">
        <f>'P&amp;L'!F25</f>
        <v>51817.595999999998</v>
      </c>
      <c r="G229" s="137">
        <f>'P&amp;L'!G25</f>
        <v>53927.935001374455</v>
      </c>
      <c r="H229" s="137">
        <f>'P&amp;L'!H25</f>
        <v>63714.540868629512</v>
      </c>
      <c r="I229" s="137">
        <f>'P&amp;L'!I25</f>
        <v>18298.415222333395</v>
      </c>
      <c r="J229" s="137">
        <f>'P&amp;L'!J25</f>
        <v>18298.415222333395</v>
      </c>
      <c r="K229" s="137">
        <f>'P&amp;L'!K25</f>
        <v>18298.415222333395</v>
      </c>
      <c r="L229" s="137">
        <f>'P&amp;L'!L25</f>
        <v>18298.415222333395</v>
      </c>
      <c r="M229" s="137">
        <f>'P&amp;L'!M25</f>
        <v>73193.66088933358</v>
      </c>
      <c r="N229" s="137">
        <f>'P&amp;L'!N25</f>
        <v>79638.452460647532</v>
      </c>
      <c r="O229" s="137">
        <f>'P&amp;L'!O25</f>
        <v>83214.082671308221</v>
      </c>
      <c r="P229" s="137">
        <f>'P&amp;L'!P25</f>
        <v>83673.634629304914</v>
      </c>
      <c r="Q229" s="137">
        <f>'P&amp;L'!Q25</f>
        <v>79139.07392197533</v>
      </c>
      <c r="R229" s="14"/>
    </row>
    <row r="230" spans="1:18" s="97" customFormat="1" ht="14.45" hidden="1" customHeight="1" outlineLevel="1" x14ac:dyDescent="0.25">
      <c r="B230" s="97" t="str">
        <f>'P&amp;L'!B26</f>
        <v>Biz1</v>
      </c>
      <c r="C230" s="149"/>
      <c r="D230" s="96">
        <f>'P&amp;L'!D26</f>
        <v>15433.586000000001</v>
      </c>
      <c r="E230" s="96">
        <f>'P&amp;L'!E26</f>
        <v>5691.0020000000004</v>
      </c>
      <c r="F230" s="96">
        <f>'P&amp;L'!F26</f>
        <v>11385.722</v>
      </c>
      <c r="G230" s="96">
        <f>'P&amp;L'!G26</f>
        <v>18558.953001374459</v>
      </c>
      <c r="H230" s="96">
        <f>'P&amp;L'!H26</f>
        <v>24344.818868629511</v>
      </c>
      <c r="I230" s="96">
        <f>'P&amp;L'!I26</f>
        <v>6667.1061813333927</v>
      </c>
      <c r="J230" s="96">
        <f>'P&amp;L'!J26</f>
        <v>6667.1061813333927</v>
      </c>
      <c r="K230" s="96">
        <f>'P&amp;L'!K26</f>
        <v>6667.1061813333927</v>
      </c>
      <c r="L230" s="96">
        <f>'P&amp;L'!L26</f>
        <v>6667.1061813333927</v>
      </c>
      <c r="M230" s="96">
        <f>'P&amp;L'!M26</f>
        <v>26668.424725333571</v>
      </c>
      <c r="N230" s="96">
        <f>'P&amp;L'!N26</f>
        <v>29648.581910577523</v>
      </c>
      <c r="O230" s="96">
        <f>'P&amp;L'!O26</f>
        <v>30757.232895620815</v>
      </c>
      <c r="P230" s="96">
        <f>'P&amp;L'!P26</f>
        <v>31216.784853617501</v>
      </c>
      <c r="Q230" s="96">
        <f>'P&amp;L'!Q26</f>
        <v>26682.224146287925</v>
      </c>
      <c r="R230" s="14"/>
    </row>
    <row r="231" spans="1:18" s="97" customFormat="1" ht="14.45" hidden="1" customHeight="1" outlineLevel="1" x14ac:dyDescent="0.25">
      <c r="B231" s="97" t="str">
        <f>'P&amp;L'!B27</f>
        <v>Biz2</v>
      </c>
      <c r="C231" s="149"/>
      <c r="D231" s="96">
        <f>'P&amp;L'!D27</f>
        <v>8415.0110000000004</v>
      </c>
      <c r="E231" s="96">
        <f>'P&amp;L'!E27</f>
        <v>7380.4480000000003</v>
      </c>
      <c r="F231" s="96">
        <f>'P&amp;L'!F27</f>
        <v>6990.5599999999995</v>
      </c>
      <c r="G231" s="96">
        <f>'P&amp;L'!G27</f>
        <v>8331.2000000000007</v>
      </c>
      <c r="H231" s="96">
        <f>'P&amp;L'!H27</f>
        <v>8458.56</v>
      </c>
      <c r="I231" s="96">
        <f>'P&amp;L'!I27</f>
        <v>2316.6023999999998</v>
      </c>
      <c r="J231" s="96">
        <f>'P&amp;L'!J27</f>
        <v>2316.6023999999998</v>
      </c>
      <c r="K231" s="96">
        <f>'P&amp;L'!K27</f>
        <v>2316.6023999999998</v>
      </c>
      <c r="L231" s="96">
        <f>'P&amp;L'!L27</f>
        <v>2316.6023999999998</v>
      </c>
      <c r="M231" s="96">
        <f>'P&amp;L'!M27</f>
        <v>9266.409599999999</v>
      </c>
      <c r="N231" s="96">
        <f>'P&amp;L'!N27</f>
        <v>9710.7268800000002</v>
      </c>
      <c r="O231" s="96">
        <f>'P&amp;L'!O27</f>
        <v>10177.260024000001</v>
      </c>
      <c r="P231" s="96">
        <f>'P&amp;L'!P27</f>
        <v>10177.260024000001</v>
      </c>
      <c r="Q231" s="96">
        <f>'P&amp;L'!Q27</f>
        <v>10177.260024000001</v>
      </c>
      <c r="R231" s="14"/>
    </row>
    <row r="232" spans="1:18" s="97" customFormat="1" ht="14.45" hidden="1" customHeight="1" outlineLevel="1" x14ac:dyDescent="0.25">
      <c r="B232" s="150" t="str">
        <f>'P&amp;L'!B28</f>
        <v>CORP</v>
      </c>
      <c r="C232" s="149"/>
      <c r="D232" s="96">
        <f>'P&amp;L'!D28</f>
        <v>32147.820999999996</v>
      </c>
      <c r="E232" s="96">
        <f>'P&amp;L'!E28</f>
        <v>31168.951000000001</v>
      </c>
      <c r="F232" s="96">
        <f>'P&amp;L'!F28</f>
        <v>33441.313999999998</v>
      </c>
      <c r="G232" s="96">
        <f>'P&amp;L'!G28</f>
        <v>27037.781999999999</v>
      </c>
      <c r="H232" s="96">
        <f>'P&amp;L'!H28</f>
        <v>30911.162000000004</v>
      </c>
      <c r="I232" s="96">
        <f>'P&amp;L'!I28</f>
        <v>9314.7066410000007</v>
      </c>
      <c r="J232" s="96">
        <f>'P&amp;L'!J28</f>
        <v>9314.7066410000007</v>
      </c>
      <c r="K232" s="96">
        <f>'P&amp;L'!K28</f>
        <v>9314.7066410000007</v>
      </c>
      <c r="L232" s="96">
        <f>'P&amp;L'!L28</f>
        <v>9314.7066410000007</v>
      </c>
      <c r="M232" s="96">
        <f>'P&amp;L'!M28</f>
        <v>37258.826564000003</v>
      </c>
      <c r="N232" s="96">
        <f>'P&amp;L'!N28</f>
        <v>40279.14367007</v>
      </c>
      <c r="O232" s="96">
        <f>'P&amp;L'!O28</f>
        <v>42279.58975168741</v>
      </c>
      <c r="P232" s="96">
        <f>'P&amp;L'!P28</f>
        <v>42279.58975168741</v>
      </c>
      <c r="Q232" s="96">
        <f>'P&amp;L'!Q28</f>
        <v>42279.58975168741</v>
      </c>
      <c r="R232" s="14"/>
    </row>
    <row r="233" spans="1:18" s="97" customFormat="1" ht="14.45" hidden="1" customHeight="1" outlineLevel="1" x14ac:dyDescent="0.25">
      <c r="C233" s="147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4"/>
    </row>
    <row r="234" spans="1:18" s="97" customFormat="1" ht="14.45" hidden="1" customHeight="1" outlineLevel="1" collapsed="1" x14ac:dyDescent="0.25">
      <c r="B234" s="97" t="str">
        <f>'P&amp;L'!B35</f>
        <v>Impair/Spec &amp; (Gain) eqp. sales</v>
      </c>
      <c r="C234" s="148"/>
      <c r="D234" s="151">
        <f>'P&amp;L'!D35</f>
        <v>2302</v>
      </c>
      <c r="E234" s="151">
        <f>'P&amp;L'!E35</f>
        <v>55667</v>
      </c>
      <c r="F234" s="151">
        <f>'P&amp;L'!F35</f>
        <v>-11870.047</v>
      </c>
      <c r="G234" s="151">
        <f>'P&amp;L'!G35</f>
        <v>0</v>
      </c>
      <c r="H234" s="151">
        <f>'P&amp;L'!H35</f>
        <v>0</v>
      </c>
      <c r="I234" s="151">
        <f>'P&amp;L'!I35</f>
        <v>0</v>
      </c>
      <c r="J234" s="151">
        <f>'P&amp;L'!J35</f>
        <v>0</v>
      </c>
      <c r="K234" s="151">
        <f>'P&amp;L'!K35</f>
        <v>0</v>
      </c>
      <c r="L234" s="151">
        <f>'P&amp;L'!L35</f>
        <v>0</v>
      </c>
      <c r="M234" s="151">
        <f>'P&amp;L'!M35</f>
        <v>0</v>
      </c>
      <c r="N234" s="151">
        <f>'P&amp;L'!N35</f>
        <v>0</v>
      </c>
      <c r="O234" s="151">
        <f>'P&amp;L'!O35</f>
        <v>0</v>
      </c>
      <c r="P234" s="151">
        <f>'P&amp;L'!P35</f>
        <v>0</v>
      </c>
      <c r="Q234" s="151">
        <f>'P&amp;L'!Q35</f>
        <v>0</v>
      </c>
      <c r="R234" s="14"/>
    </row>
    <row r="235" spans="1:18" s="97" customFormat="1" ht="14.45" hidden="1" customHeight="1" outlineLevel="1" x14ac:dyDescent="0.25">
      <c r="B235" s="97" t="str">
        <f>'P&amp;L'!B36</f>
        <v>Biz1</v>
      </c>
      <c r="C235" s="149"/>
      <c r="D235" s="96">
        <f>'P&amp;L'!D36</f>
        <v>0</v>
      </c>
      <c r="E235" s="96">
        <f>'P&amp;L'!E36</f>
        <v>0</v>
      </c>
      <c r="F235" s="96">
        <f>'P&amp;L'!F36</f>
        <v>0</v>
      </c>
      <c r="G235" s="96">
        <f>'P&amp;L'!G36</f>
        <v>0</v>
      </c>
      <c r="H235" s="96">
        <f>'P&amp;L'!H36</f>
        <v>0</v>
      </c>
      <c r="I235" s="96">
        <f>'P&amp;L'!I36</f>
        <v>0</v>
      </c>
      <c r="J235" s="96">
        <f>'P&amp;L'!J36</f>
        <v>0</v>
      </c>
      <c r="K235" s="96">
        <f>'P&amp;L'!K36</f>
        <v>0</v>
      </c>
      <c r="L235" s="96">
        <f>'P&amp;L'!L36</f>
        <v>0</v>
      </c>
      <c r="M235" s="96">
        <f>'P&amp;L'!M36</f>
        <v>0</v>
      </c>
      <c r="N235" s="96">
        <f>'P&amp;L'!N36</f>
        <v>0</v>
      </c>
      <c r="O235" s="96">
        <f>'P&amp;L'!O36</f>
        <v>0</v>
      </c>
      <c r="P235" s="96">
        <f>'P&amp;L'!P36</f>
        <v>0</v>
      </c>
      <c r="Q235" s="96">
        <f>'P&amp;L'!Q36</f>
        <v>0</v>
      </c>
      <c r="R235" s="14"/>
    </row>
    <row r="236" spans="1:18" s="97" customFormat="1" ht="14.45" hidden="1" customHeight="1" outlineLevel="1" x14ac:dyDescent="0.25">
      <c r="B236" s="97" t="str">
        <f>'P&amp;L'!B37</f>
        <v>Biz2</v>
      </c>
      <c r="C236" s="149"/>
      <c r="D236" s="96">
        <f>'P&amp;L'!D37</f>
        <v>0</v>
      </c>
      <c r="E236" s="96">
        <f>'P&amp;L'!E37</f>
        <v>0</v>
      </c>
      <c r="F236" s="96">
        <f>'P&amp;L'!F37</f>
        <v>0</v>
      </c>
      <c r="G236" s="96">
        <f>'P&amp;L'!G37</f>
        <v>0</v>
      </c>
      <c r="H236" s="96">
        <f>'P&amp;L'!H37</f>
        <v>0</v>
      </c>
      <c r="I236" s="96">
        <f>'P&amp;L'!I37</f>
        <v>0</v>
      </c>
      <c r="J236" s="96">
        <f>'P&amp;L'!J37</f>
        <v>0</v>
      </c>
      <c r="K236" s="96">
        <f>'P&amp;L'!K37</f>
        <v>0</v>
      </c>
      <c r="L236" s="96">
        <f>'P&amp;L'!L37</f>
        <v>0</v>
      </c>
      <c r="M236" s="96">
        <f>'P&amp;L'!M37</f>
        <v>0</v>
      </c>
      <c r="N236" s="96">
        <f>'P&amp;L'!N37</f>
        <v>0</v>
      </c>
      <c r="O236" s="96">
        <f>'P&amp;L'!O37</f>
        <v>0</v>
      </c>
      <c r="P236" s="96">
        <f>'P&amp;L'!P37</f>
        <v>0</v>
      </c>
      <c r="Q236" s="96">
        <f>'P&amp;L'!Q37</f>
        <v>0</v>
      </c>
      <c r="R236" s="14"/>
    </row>
    <row r="237" spans="1:18" s="150" customFormat="1" ht="14.45" hidden="1" customHeight="1" outlineLevel="1" x14ac:dyDescent="0.25">
      <c r="B237" s="150" t="str">
        <f>'P&amp;L'!B38</f>
        <v>CORP</v>
      </c>
      <c r="C237" s="149"/>
      <c r="D237" s="96">
        <f>'P&amp;L'!D38</f>
        <v>2302</v>
      </c>
      <c r="E237" s="96">
        <f>'P&amp;L'!E38</f>
        <v>55667</v>
      </c>
      <c r="F237" s="96">
        <f>'P&amp;L'!F38</f>
        <v>-11870.047</v>
      </c>
      <c r="G237" s="96">
        <f>'P&amp;L'!G38</f>
        <v>0</v>
      </c>
      <c r="H237" s="96">
        <f>'P&amp;L'!H38</f>
        <v>0</v>
      </c>
      <c r="I237" s="96">
        <f>'P&amp;L'!I38</f>
        <v>0</v>
      </c>
      <c r="J237" s="96">
        <f>'P&amp;L'!J38</f>
        <v>0</v>
      </c>
      <c r="K237" s="96">
        <f>'P&amp;L'!K38</f>
        <v>0</v>
      </c>
      <c r="L237" s="96">
        <f>'P&amp;L'!L38</f>
        <v>0</v>
      </c>
      <c r="M237" s="96">
        <f>'P&amp;L'!M38</f>
        <v>0</v>
      </c>
      <c r="N237" s="96">
        <f>'P&amp;L'!N38</f>
        <v>0</v>
      </c>
      <c r="O237" s="96">
        <f>'P&amp;L'!O38</f>
        <v>0</v>
      </c>
      <c r="P237" s="96">
        <f>'P&amp;L'!P38</f>
        <v>0</v>
      </c>
      <c r="Q237" s="96">
        <f>'P&amp;L'!Q38</f>
        <v>0</v>
      </c>
      <c r="R237" s="14"/>
    </row>
    <row r="238" spans="1:18" s="150" customFormat="1" ht="14.45" hidden="1" customHeight="1" outlineLevel="1" x14ac:dyDescent="0.25">
      <c r="C238" s="147"/>
      <c r="D238" s="167"/>
      <c r="E238" s="167"/>
      <c r="F238" s="167"/>
      <c r="G238" s="167"/>
      <c r="H238" s="167"/>
      <c r="I238" s="167"/>
      <c r="J238" s="167"/>
      <c r="K238" s="167"/>
      <c r="L238" s="167"/>
      <c r="M238" s="167"/>
      <c r="N238" s="167"/>
      <c r="O238" s="167"/>
      <c r="P238" s="167"/>
      <c r="Q238" s="167"/>
      <c r="R238" s="14"/>
    </row>
    <row r="239" spans="1:18" s="97" customFormat="1" ht="14.45" hidden="1" customHeight="1" outlineLevel="1" collapsed="1" x14ac:dyDescent="0.25">
      <c r="A239" s="97" t="str">
        <f>'P&amp;L'!A30</f>
        <v>EBITDA</v>
      </c>
      <c r="C239" s="148"/>
      <c r="D239" s="137">
        <f>'P&amp;L'!D30</f>
        <v>-46886.917999999998</v>
      </c>
      <c r="E239" s="137">
        <f>'P&amp;L'!E30</f>
        <v>-57015.400999999998</v>
      </c>
      <c r="F239" s="137">
        <f>'P&amp;L'!F30</f>
        <v>-39124.595999999998</v>
      </c>
      <c r="G239" s="137">
        <f>'P&amp;L'!G30</f>
        <v>-7619.4350013744588</v>
      </c>
      <c r="H239" s="137">
        <f>'P&amp;L'!H30</f>
        <v>16737.239019785498</v>
      </c>
      <c r="I239" s="137">
        <f>'P&amp;L'!I30</f>
        <v>1111.3688643739169</v>
      </c>
      <c r="J239" s="137">
        <f>'P&amp;L'!J30</f>
        <v>1111.3688643739169</v>
      </c>
      <c r="K239" s="137">
        <f>'P&amp;L'!K30</f>
        <v>1111.3688643739169</v>
      </c>
      <c r="L239" s="137">
        <f>'P&amp;L'!L30</f>
        <v>1111.3688643739169</v>
      </c>
      <c r="M239" s="137">
        <f>'P&amp;L'!M30</f>
        <v>4445.4754574956678</v>
      </c>
      <c r="N239" s="137">
        <f>'P&amp;L'!N30</f>
        <v>12289.750601272739</v>
      </c>
      <c r="O239" s="137">
        <f>'P&amp;L'!O30</f>
        <v>13035.135910396028</v>
      </c>
      <c r="P239" s="137">
        <f>'P&amp;L'!P30</f>
        <v>10712.583343956059</v>
      </c>
      <c r="Q239" s="137">
        <f>'P&amp;L'!Q30</f>
        <v>-9462.2794165793457</v>
      </c>
      <c r="R239" s="14"/>
    </row>
    <row r="240" spans="1:18" s="97" customFormat="1" ht="14.45" hidden="1" customHeight="1" outlineLevel="1" x14ac:dyDescent="0.25">
      <c r="B240" s="97" t="str">
        <f>'P&amp;L'!B86</f>
        <v>Biz1</v>
      </c>
      <c r="C240" s="149"/>
      <c r="D240" s="96">
        <f>'P&amp;L'!D31</f>
        <v>-18263.586000000003</v>
      </c>
      <c r="E240" s="96">
        <f>'P&amp;L'!E31</f>
        <v>-32701.002</v>
      </c>
      <c r="F240" s="96">
        <f>'P&amp;L'!F31</f>
        <v>-11427.722</v>
      </c>
      <c r="G240" s="96">
        <f>'P&amp;L'!G31</f>
        <v>16406.546998625541</v>
      </c>
      <c r="H240" s="96">
        <f>'P&amp;L'!H31</f>
        <v>45620.719831370523</v>
      </c>
      <c r="I240" s="96">
        <f>'P&amp;L'!I31</f>
        <v>9601.5699508166017</v>
      </c>
      <c r="J240" s="96">
        <f>'P&amp;L'!J31</f>
        <v>9601.5699508166017</v>
      </c>
      <c r="K240" s="96">
        <f>'P&amp;L'!K31</f>
        <v>9601.5699508166017</v>
      </c>
      <c r="L240" s="96">
        <f>'P&amp;L'!L31</f>
        <v>9601.5699508166017</v>
      </c>
      <c r="M240" s="96">
        <f>'P&amp;L'!M31</f>
        <v>38406.279803266407</v>
      </c>
      <c r="N240" s="96">
        <f>'P&amp;L'!N31</f>
        <v>49323.941929758257</v>
      </c>
      <c r="O240" s="96">
        <f>'P&amp;L'!O31</f>
        <v>51967.488747166171</v>
      </c>
      <c r="P240" s="96">
        <f>'P&amp;L'!P31</f>
        <v>49644.936180726203</v>
      </c>
      <c r="Q240" s="96">
        <f>'P&amp;L'!Q31</f>
        <v>29470.073420190798</v>
      </c>
      <c r="R240" s="14"/>
    </row>
    <row r="241" spans="1:18" s="97" customFormat="1" ht="14.45" hidden="1" customHeight="1" outlineLevel="1" x14ac:dyDescent="0.25">
      <c r="B241" s="97" t="str">
        <f>'P&amp;L'!B87</f>
        <v>Biz2</v>
      </c>
      <c r="C241" s="149"/>
      <c r="D241" s="96">
        <f>'P&amp;L'!D32</f>
        <v>2485.9889999999996</v>
      </c>
      <c r="E241" s="96">
        <f>'P&amp;L'!E32</f>
        <v>5321.5519999999997</v>
      </c>
      <c r="F241" s="96">
        <f>'P&amp;L'!F32</f>
        <v>4414.4400000000005</v>
      </c>
      <c r="G241" s="96">
        <f>'P&amp;L'!G32</f>
        <v>1920.7999999999993</v>
      </c>
      <c r="H241" s="96">
        <f>'P&amp;L'!H32</f>
        <v>1429.4400000000005</v>
      </c>
      <c r="I241" s="96">
        <f>'P&amp;L'!I32</f>
        <v>701.45291568975517</v>
      </c>
      <c r="J241" s="96">
        <f>'P&amp;L'!J32</f>
        <v>701.45291568975517</v>
      </c>
      <c r="K241" s="96">
        <f>'P&amp;L'!K32</f>
        <v>701.45291568975517</v>
      </c>
      <c r="L241" s="96">
        <f>'P&amp;L'!L32</f>
        <v>701.45291568975517</v>
      </c>
      <c r="M241" s="96">
        <f>'P&amp;L'!M32</f>
        <v>2805.8116627590207</v>
      </c>
      <c r="N241" s="96">
        <f>'P&amp;L'!N32</f>
        <v>2689.9046440577386</v>
      </c>
      <c r="O241" s="96">
        <f>'P&amp;L'!O32</f>
        <v>2533.3872881591542</v>
      </c>
      <c r="P241" s="96">
        <f>'P&amp;L'!P32</f>
        <v>2533.3872881591542</v>
      </c>
      <c r="Q241" s="96">
        <f>'P&amp;L'!Q32</f>
        <v>2533.3872881591542</v>
      </c>
      <c r="R241" s="14"/>
    </row>
    <row r="242" spans="1:18" s="97" customFormat="1" ht="14.45" hidden="1" customHeight="1" outlineLevel="1" x14ac:dyDescent="0.25">
      <c r="B242" s="150" t="str">
        <f>'P&amp;L'!B88</f>
        <v>CORP</v>
      </c>
      <c r="C242" s="149"/>
      <c r="D242" s="96">
        <f>'P&amp;L'!D33</f>
        <v>-31109.320999999996</v>
      </c>
      <c r="E242" s="96">
        <f>'P&amp;L'!E33</f>
        <v>-29635.951000000001</v>
      </c>
      <c r="F242" s="96">
        <f>'P&amp;L'!F33</f>
        <v>-32111.313999999998</v>
      </c>
      <c r="G242" s="96">
        <f>'P&amp;L'!G33</f>
        <v>-25946.781999999999</v>
      </c>
      <c r="H242" s="96">
        <f>'P&amp;L'!H33</f>
        <v>-30312.920811585027</v>
      </c>
      <c r="I242" s="96">
        <f>'P&amp;L'!I33</f>
        <v>-9191.6540021324399</v>
      </c>
      <c r="J242" s="96">
        <f>'P&amp;L'!J33</f>
        <v>-9191.6540021324399</v>
      </c>
      <c r="K242" s="96">
        <f>'P&amp;L'!K33</f>
        <v>-9191.6540021324399</v>
      </c>
      <c r="L242" s="96">
        <f>'P&amp;L'!L33</f>
        <v>-9191.6540021324399</v>
      </c>
      <c r="M242" s="96">
        <f>'P&amp;L'!M33</f>
        <v>-36766.61600852976</v>
      </c>
      <c r="N242" s="96">
        <f>'P&amp;L'!N33</f>
        <v>-39724.095972543255</v>
      </c>
      <c r="O242" s="96">
        <f>'P&amp;L'!O33</f>
        <v>-41465.740124929296</v>
      </c>
      <c r="P242" s="96">
        <f>'P&amp;L'!P33</f>
        <v>-41465.740124929296</v>
      </c>
      <c r="Q242" s="96">
        <f>'P&amp;L'!Q33</f>
        <v>-41465.740124929296</v>
      </c>
      <c r="R242" s="14"/>
    </row>
    <row r="243" spans="1:18" s="97" customFormat="1" ht="14.45" hidden="1" customHeight="1" outlineLevel="1" x14ac:dyDescent="0.25">
      <c r="C243" s="147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4"/>
    </row>
    <row r="244" spans="1:18" s="97" customFormat="1" ht="14.45" hidden="1" customHeight="1" outlineLevel="1" collapsed="1" x14ac:dyDescent="0.25">
      <c r="B244" s="97" t="str">
        <f>'P&amp;L'!B40</f>
        <v>Dep'n &amp; amort.</v>
      </c>
      <c r="C244" s="148"/>
      <c r="D244" s="151">
        <f>'P&amp;L'!D40</f>
        <v>11934.684999999999</v>
      </c>
      <c r="E244" s="151">
        <f>'P&amp;L'!E40</f>
        <v>13014.693000000001</v>
      </c>
      <c r="F244" s="151">
        <f>'P&amp;L'!F40</f>
        <v>13123.322999999999</v>
      </c>
      <c r="G244" s="151">
        <f>'P&amp;L'!G40</f>
        <v>12621.662</v>
      </c>
      <c r="H244" s="151">
        <f>'P&amp;L'!H40</f>
        <v>13504</v>
      </c>
      <c r="I244" s="151">
        <f>'P&amp;L'!I40</f>
        <v>5687.5</v>
      </c>
      <c r="J244" s="151">
        <f>'P&amp;L'!J40</f>
        <v>5687.5</v>
      </c>
      <c r="K244" s="151">
        <f>'P&amp;L'!K40</f>
        <v>5687.5</v>
      </c>
      <c r="L244" s="151">
        <f>'P&amp;L'!L40</f>
        <v>5687.5</v>
      </c>
      <c r="M244" s="151">
        <f>'P&amp;L'!M40</f>
        <v>14500</v>
      </c>
      <c r="N244" s="151">
        <f>'P&amp;L'!N40</f>
        <v>14750</v>
      </c>
      <c r="O244" s="151">
        <f>'P&amp;L'!O40</f>
        <v>14750</v>
      </c>
      <c r="P244" s="151">
        <f>'P&amp;L'!P40</f>
        <v>14750</v>
      </c>
      <c r="Q244" s="151">
        <f>'P&amp;L'!Q40</f>
        <v>14750</v>
      </c>
      <c r="R244" s="14"/>
    </row>
    <row r="245" spans="1:18" s="97" customFormat="1" ht="14.45" hidden="1" customHeight="1" outlineLevel="1" x14ac:dyDescent="0.25">
      <c r="B245" s="97" t="str">
        <f>'P&amp;L'!B41</f>
        <v>Biz1</v>
      </c>
      <c r="C245" s="149"/>
      <c r="D245" s="96">
        <f>'P&amp;L'!D41</f>
        <v>8434.7849999999999</v>
      </c>
      <c r="E245" s="96">
        <f>'P&amp;L'!E41</f>
        <v>9556.43</v>
      </c>
      <c r="F245" s="96">
        <f>'P&amp;L'!F41</f>
        <v>9151.1989999999987</v>
      </c>
      <c r="G245" s="96">
        <f>'P&amp;L'!G41</f>
        <v>8360.6229999999996</v>
      </c>
      <c r="H245" s="96">
        <f>'P&amp;L'!H41</f>
        <v>8800</v>
      </c>
      <c r="I245" s="96">
        <f>'P&amp;L'!I41</f>
        <v>2437.5</v>
      </c>
      <c r="J245" s="96">
        <f>'P&amp;L'!J41</f>
        <v>2437.5</v>
      </c>
      <c r="K245" s="96">
        <f>'P&amp;L'!K41</f>
        <v>2437.5</v>
      </c>
      <c r="L245" s="96">
        <f>'P&amp;L'!L41</f>
        <v>2437.5</v>
      </c>
      <c r="M245" s="96">
        <f>'P&amp;L'!M41</f>
        <v>9750</v>
      </c>
      <c r="N245" s="96">
        <f>'P&amp;L'!N41</f>
        <v>10250</v>
      </c>
      <c r="O245" s="96">
        <f>'P&amp;L'!O41</f>
        <v>10500</v>
      </c>
      <c r="P245" s="96">
        <f>'P&amp;L'!P41</f>
        <v>10500</v>
      </c>
      <c r="Q245" s="96">
        <f>'P&amp;L'!Q41</f>
        <v>10500</v>
      </c>
      <c r="R245" s="14"/>
    </row>
    <row r="246" spans="1:18" s="97" customFormat="1" ht="14.45" hidden="1" customHeight="1" outlineLevel="1" x14ac:dyDescent="0.25">
      <c r="B246" s="97" t="str">
        <f>'P&amp;L'!B42</f>
        <v>Biz2</v>
      </c>
      <c r="C246" s="149"/>
      <c r="D246" s="96">
        <f>'P&amp;L'!D42</f>
        <v>2831.9</v>
      </c>
      <c r="E246" s="96">
        <f>'P&amp;L'!E42</f>
        <v>1914.4680000000001</v>
      </c>
      <c r="F246" s="96">
        <f>'P&amp;L'!F42</f>
        <v>1909.3019999999999</v>
      </c>
      <c r="G246" s="96">
        <f>'P&amp;L'!G42</f>
        <v>1582.761</v>
      </c>
      <c r="H246" s="96">
        <f>'P&amp;L'!H42</f>
        <v>1798</v>
      </c>
      <c r="I246" s="96">
        <f>'P&amp;L'!I42</f>
        <v>500</v>
      </c>
      <c r="J246" s="96">
        <f>'P&amp;L'!J42</f>
        <v>500</v>
      </c>
      <c r="K246" s="96">
        <f>'P&amp;L'!K42</f>
        <v>500</v>
      </c>
      <c r="L246" s="96">
        <f>'P&amp;L'!L42</f>
        <v>500</v>
      </c>
      <c r="M246" s="96">
        <f>'P&amp;L'!M42</f>
        <v>2000</v>
      </c>
      <c r="N246" s="96">
        <f>'P&amp;L'!N42</f>
        <v>2000</v>
      </c>
      <c r="O246" s="96">
        <f>'P&amp;L'!O42</f>
        <v>2250</v>
      </c>
      <c r="P246" s="96">
        <f>'P&amp;L'!P42</f>
        <v>2250</v>
      </c>
      <c r="Q246" s="96">
        <f>'P&amp;L'!Q42</f>
        <v>2250</v>
      </c>
      <c r="R246" s="14"/>
    </row>
    <row r="247" spans="1:18" s="150" customFormat="1" ht="14.45" hidden="1" customHeight="1" outlineLevel="1" x14ac:dyDescent="0.25">
      <c r="B247" s="150" t="str">
        <f>'P&amp;L'!B43</f>
        <v>CORP</v>
      </c>
      <c r="C247" s="149"/>
      <c r="D247" s="96">
        <f>'P&amp;L'!D43</f>
        <v>668</v>
      </c>
      <c r="E247" s="96">
        <f>'P&amp;L'!E43</f>
        <v>1543.7950000000001</v>
      </c>
      <c r="F247" s="96">
        <f>'P&amp;L'!F43</f>
        <v>2062.8220000000001</v>
      </c>
      <c r="G247" s="96">
        <f>'P&amp;L'!G43</f>
        <v>2678.2780000000002</v>
      </c>
      <c r="H247" s="96">
        <f>'P&amp;L'!H43</f>
        <v>2906</v>
      </c>
      <c r="I247" s="96">
        <f>'P&amp;L'!I43</f>
        <v>2750</v>
      </c>
      <c r="J247" s="96">
        <f>'P&amp;L'!J43</f>
        <v>2750</v>
      </c>
      <c r="K247" s="96">
        <f>'P&amp;L'!K43</f>
        <v>2750</v>
      </c>
      <c r="L247" s="96">
        <f>'P&amp;L'!L43</f>
        <v>2750</v>
      </c>
      <c r="M247" s="96">
        <f>'P&amp;L'!M43</f>
        <v>2750</v>
      </c>
      <c r="N247" s="96">
        <f>'P&amp;L'!N43</f>
        <v>2500</v>
      </c>
      <c r="O247" s="96">
        <f>'P&amp;L'!O43</f>
        <v>2000</v>
      </c>
      <c r="P247" s="96">
        <f>'P&amp;L'!P43</f>
        <v>2000</v>
      </c>
      <c r="Q247" s="96">
        <f>'P&amp;L'!Q43</f>
        <v>2000</v>
      </c>
      <c r="R247" s="14"/>
    </row>
    <row r="248" spans="1:18" s="150" customFormat="1" ht="14.45" hidden="1" customHeight="1" outlineLevel="1" x14ac:dyDescent="0.25">
      <c r="C248" s="147"/>
      <c r="D248" s="167"/>
      <c r="E248" s="167"/>
      <c r="F248" s="167"/>
      <c r="G248" s="167"/>
      <c r="H248" s="167"/>
      <c r="I248" s="167"/>
      <c r="J248" s="167"/>
      <c r="K248" s="167"/>
      <c r="L248" s="167"/>
      <c r="M248" s="167"/>
      <c r="N248" s="167"/>
      <c r="O248" s="167"/>
      <c r="P248" s="167"/>
      <c r="Q248" s="167"/>
      <c r="R248" s="14"/>
    </row>
    <row r="249" spans="1:18" s="97" customFormat="1" ht="14.45" hidden="1" customHeight="1" outlineLevel="1" collapsed="1" x14ac:dyDescent="0.25">
      <c r="A249" s="97" t="str">
        <f>'P&amp;L'!A45</f>
        <v>EBIT</v>
      </c>
      <c r="C249" s="148"/>
      <c r="D249" s="137">
        <f>'P&amp;L'!D45</f>
        <v>-61123.603000000003</v>
      </c>
      <c r="E249" s="137">
        <f>'P&amp;L'!E45</f>
        <v>-125697.094</v>
      </c>
      <c r="F249" s="137">
        <f>'P&amp;L'!F45</f>
        <v>-40377.871999999996</v>
      </c>
      <c r="G249" s="137">
        <f>'P&amp;L'!G45</f>
        <v>-20241.097001374459</v>
      </c>
      <c r="H249" s="137">
        <f>'P&amp;L'!H45</f>
        <v>3233.2390197854984</v>
      </c>
      <c r="I249" s="137">
        <f>'P&amp;L'!I45</f>
        <v>-4576.1311356260831</v>
      </c>
      <c r="J249" s="137">
        <f>'P&amp;L'!J45</f>
        <v>-4576.1311356260831</v>
      </c>
      <c r="K249" s="137">
        <f>'P&amp;L'!K45</f>
        <v>-4576.1311356260831</v>
      </c>
      <c r="L249" s="137">
        <f>'P&amp;L'!L45</f>
        <v>-4576.1311356260831</v>
      </c>
      <c r="M249" s="137">
        <f>'P&amp;L'!M45</f>
        <v>-10054.524542504332</v>
      </c>
      <c r="N249" s="137">
        <f>'P&amp;L'!N45</f>
        <v>-2460.249398727261</v>
      </c>
      <c r="O249" s="137">
        <f>'P&amp;L'!O45</f>
        <v>-1714.8640896039724</v>
      </c>
      <c r="P249" s="137">
        <f>'P&amp;L'!P45</f>
        <v>-4037.4166560439407</v>
      </c>
      <c r="Q249" s="137">
        <f>'P&amp;L'!Q45</f>
        <v>-24212.279416579346</v>
      </c>
      <c r="R249" s="14"/>
    </row>
    <row r="250" spans="1:18" s="97" customFormat="1" ht="14.45" hidden="1" customHeight="1" outlineLevel="1" x14ac:dyDescent="0.25">
      <c r="B250" s="97" t="str">
        <f>'P&amp;L'!B31</f>
        <v>Biz1</v>
      </c>
      <c r="C250" s="149"/>
      <c r="D250" s="96">
        <f>'P&amp;L'!D46</f>
        <v>-26698.371000000003</v>
      </c>
      <c r="E250" s="96">
        <f>'P&amp;L'!E46</f>
        <v>-42257.432000000001</v>
      </c>
      <c r="F250" s="96">
        <f>'P&amp;L'!F46</f>
        <v>-20578.920999999998</v>
      </c>
      <c r="G250" s="96">
        <f>'P&amp;L'!G46</f>
        <v>8045.9239986255416</v>
      </c>
      <c r="H250" s="96">
        <f>'P&amp;L'!H46</f>
        <v>36820.719831370523</v>
      </c>
      <c r="I250" s="96">
        <f>'P&amp;L'!I46</f>
        <v>7164.0699508166017</v>
      </c>
      <c r="J250" s="96">
        <f>'P&amp;L'!J46</f>
        <v>7164.0699508166017</v>
      </c>
      <c r="K250" s="96">
        <f>'P&amp;L'!K46</f>
        <v>7164.0699508166017</v>
      </c>
      <c r="L250" s="96">
        <f>'P&amp;L'!L46</f>
        <v>7164.0699508166017</v>
      </c>
      <c r="M250" s="96">
        <f>'P&amp;L'!M46</f>
        <v>28656.279803266407</v>
      </c>
      <c r="N250" s="96">
        <f>'P&amp;L'!N46</f>
        <v>39073.941929758257</v>
      </c>
      <c r="O250" s="96">
        <f>'P&amp;L'!O46</f>
        <v>41467.488747166171</v>
      </c>
      <c r="P250" s="96">
        <f>'P&amp;L'!P46</f>
        <v>39144.936180726203</v>
      </c>
      <c r="Q250" s="96">
        <f>'P&amp;L'!Q46</f>
        <v>18970.073420190798</v>
      </c>
      <c r="R250" s="14"/>
    </row>
    <row r="251" spans="1:18" s="97" customFormat="1" ht="14.45" hidden="1" customHeight="1" outlineLevel="1" x14ac:dyDescent="0.25">
      <c r="B251" s="97" t="str">
        <f>'P&amp;L'!B32</f>
        <v>Biz2</v>
      </c>
      <c r="C251" s="149"/>
      <c r="D251" s="96">
        <f>'P&amp;L'!D47</f>
        <v>-345.91100000000051</v>
      </c>
      <c r="E251" s="96">
        <f>'P&amp;L'!E47</f>
        <v>3407.0839999999998</v>
      </c>
      <c r="F251" s="96">
        <f>'P&amp;L'!F47</f>
        <v>2505.1380000000008</v>
      </c>
      <c r="G251" s="96">
        <f>'P&amp;L'!G47</f>
        <v>338.03899999999931</v>
      </c>
      <c r="H251" s="96">
        <f>'P&amp;L'!H47</f>
        <v>-368.55999999999949</v>
      </c>
      <c r="I251" s="96">
        <f>'P&amp;L'!I47</f>
        <v>201.45291568975517</v>
      </c>
      <c r="J251" s="96">
        <f>'P&amp;L'!J47</f>
        <v>201.45291568975517</v>
      </c>
      <c r="K251" s="96">
        <f>'P&amp;L'!K47</f>
        <v>201.45291568975517</v>
      </c>
      <c r="L251" s="96">
        <f>'P&amp;L'!L47</f>
        <v>201.45291568975517</v>
      </c>
      <c r="M251" s="96">
        <f>'P&amp;L'!M47</f>
        <v>805.81166275902069</v>
      </c>
      <c r="N251" s="96">
        <f>'P&amp;L'!N47</f>
        <v>689.90464405773855</v>
      </c>
      <c r="O251" s="96">
        <f>'P&amp;L'!O47</f>
        <v>283.3872881591542</v>
      </c>
      <c r="P251" s="96">
        <f>'P&amp;L'!P47</f>
        <v>283.3872881591542</v>
      </c>
      <c r="Q251" s="96">
        <f>'P&amp;L'!Q47</f>
        <v>283.3872881591542</v>
      </c>
      <c r="R251" s="14"/>
    </row>
    <row r="252" spans="1:18" s="97" customFormat="1" ht="14.45" hidden="1" customHeight="1" outlineLevel="1" x14ac:dyDescent="0.25">
      <c r="B252" s="150" t="str">
        <f>'P&amp;L'!B33</f>
        <v>CORP</v>
      </c>
      <c r="C252" s="149"/>
      <c r="D252" s="96">
        <f>'P&amp;L'!D48</f>
        <v>-34079.320999999996</v>
      </c>
      <c r="E252" s="96">
        <f>'P&amp;L'!E48</f>
        <v>-86846.745999999999</v>
      </c>
      <c r="F252" s="96">
        <f>'P&amp;L'!F48</f>
        <v>-22304.089</v>
      </c>
      <c r="G252" s="96">
        <f>'P&amp;L'!G48</f>
        <v>-28625.059999999998</v>
      </c>
      <c r="H252" s="96">
        <f>'P&amp;L'!H48</f>
        <v>-33218.920811585027</v>
      </c>
      <c r="I252" s="96">
        <f>'P&amp;L'!I48</f>
        <v>-11941.65400213244</v>
      </c>
      <c r="J252" s="96">
        <f>'P&amp;L'!J48</f>
        <v>-11941.65400213244</v>
      </c>
      <c r="K252" s="96">
        <f>'P&amp;L'!K48</f>
        <v>-11941.65400213244</v>
      </c>
      <c r="L252" s="96">
        <f>'P&amp;L'!L48</f>
        <v>-11941.65400213244</v>
      </c>
      <c r="M252" s="96">
        <f>'P&amp;L'!M48</f>
        <v>-39516.61600852976</v>
      </c>
      <c r="N252" s="96">
        <f>'P&amp;L'!N48</f>
        <v>-42224.095972543255</v>
      </c>
      <c r="O252" s="96">
        <f>'P&amp;L'!O48</f>
        <v>-43465.740124929296</v>
      </c>
      <c r="P252" s="96">
        <f>'P&amp;L'!P48</f>
        <v>-43465.740124929296</v>
      </c>
      <c r="Q252" s="96">
        <f>'P&amp;L'!Q48</f>
        <v>-43465.740124929296</v>
      </c>
      <c r="R252" s="14"/>
    </row>
    <row r="253" spans="1:18" s="97" customFormat="1" ht="14.45" hidden="1" customHeight="1" outlineLevel="1" x14ac:dyDescent="0.25">
      <c r="C253" s="147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4"/>
    </row>
    <row r="254" spans="1:18" s="97" customFormat="1" ht="14.45" hidden="1" customHeight="1" outlineLevel="1" collapsed="1" x14ac:dyDescent="0.25">
      <c r="B254" s="97" t="str">
        <f>'P&amp;L'!B50</f>
        <v>Interest expense/(benefit)</v>
      </c>
      <c r="C254" s="148"/>
      <c r="D254" s="151">
        <f>'P&amp;L'!D50</f>
        <v>38230.377</v>
      </c>
      <c r="E254" s="151">
        <f>'P&amp;L'!E50</f>
        <v>40686.014999999999</v>
      </c>
      <c r="F254" s="151">
        <f>'P&amp;L'!F50</f>
        <v>38965.769</v>
      </c>
      <c r="G254" s="151">
        <f>'P&amp;L'!G50</f>
        <v>23381.721151124999</v>
      </c>
      <c r="H254" s="151">
        <f>'P&amp;L'!H50</f>
        <v>20968.616474999999</v>
      </c>
      <c r="I254" s="151">
        <f>'P&amp;L'!I50</f>
        <v>5453.1632449999997</v>
      </c>
      <c r="J254" s="151">
        <f>'P&amp;L'!J50</f>
        <v>5453.1632449999997</v>
      </c>
      <c r="K254" s="151">
        <f>'P&amp;L'!K50</f>
        <v>5453.1632449999997</v>
      </c>
      <c r="L254" s="151">
        <f>'P&amp;L'!L50</f>
        <v>5453.1632449999997</v>
      </c>
      <c r="M254" s="151">
        <f>'P&amp;L'!M50</f>
        <v>20214.100745</v>
      </c>
      <c r="N254" s="151">
        <f>'P&amp;L'!N50</f>
        <v>20249.878949999998</v>
      </c>
      <c r="O254" s="151">
        <f>'P&amp;L'!O50</f>
        <v>20299.878949999998</v>
      </c>
      <c r="P254" s="151">
        <f>'P&amp;L'!P50</f>
        <v>19681.25</v>
      </c>
      <c r="Q254" s="151">
        <f>'P&amp;L'!Q50</f>
        <v>19681.25</v>
      </c>
      <c r="R254" s="14"/>
    </row>
    <row r="255" spans="1:18" s="97" customFormat="1" ht="14.45" hidden="1" customHeight="1" outlineLevel="1" x14ac:dyDescent="0.25">
      <c r="B255" s="97" t="str">
        <f>'P&amp;L'!B51</f>
        <v>Biz1</v>
      </c>
      <c r="C255" s="149"/>
      <c r="D255" s="96">
        <f>'P&amp;L'!D51</f>
        <v>729.07899999999995</v>
      </c>
      <c r="E255" s="96">
        <f>'P&amp;L'!E51</f>
        <v>3232.6219999999998</v>
      </c>
      <c r="F255" s="96">
        <f>'P&amp;L'!F51</f>
        <v>1868.018</v>
      </c>
      <c r="G255" s="96">
        <f>'P&amp;L'!G51</f>
        <v>600.16815112499989</v>
      </c>
      <c r="H255" s="96">
        <f>'P&amp;L'!H51</f>
        <v>824.64712499999996</v>
      </c>
      <c r="I255" s="96">
        <f>'P&amp;L'!I51</f>
        <v>414.22179499999999</v>
      </c>
      <c r="J255" s="96">
        <f>'P&amp;L'!J51</f>
        <v>414.22179499999999</v>
      </c>
      <c r="K255" s="96">
        <f>'P&amp;L'!K51</f>
        <v>414.22179499999999</v>
      </c>
      <c r="L255" s="96">
        <f>'P&amp;L'!L51</f>
        <v>414.22179499999999</v>
      </c>
      <c r="M255" s="96">
        <f>'P&amp;L'!M51</f>
        <v>414.22179499999999</v>
      </c>
      <c r="N255" s="96">
        <f>'P&amp;L'!N51</f>
        <v>450</v>
      </c>
      <c r="O255" s="96">
        <f>'P&amp;L'!O51</f>
        <v>500</v>
      </c>
      <c r="P255" s="96">
        <f>'P&amp;L'!P51</f>
        <v>0</v>
      </c>
      <c r="Q255" s="96">
        <f>'P&amp;L'!Q51</f>
        <v>0</v>
      </c>
      <c r="R255" s="14"/>
    </row>
    <row r="256" spans="1:18" s="97" customFormat="1" ht="14.45" hidden="1" customHeight="1" outlineLevel="1" x14ac:dyDescent="0.25">
      <c r="B256" s="97" t="str">
        <f>'P&amp;L'!B52</f>
        <v>Biz2</v>
      </c>
      <c r="C256" s="149"/>
      <c r="D256" s="96">
        <f>'P&amp;L'!D52</f>
        <v>5909.0530000000008</v>
      </c>
      <c r="E256" s="96">
        <f>'P&amp;L'!E52</f>
        <v>4664.7150000000001</v>
      </c>
      <c r="F256" s="96">
        <f>'P&amp;L'!F52</f>
        <v>1842.751</v>
      </c>
      <c r="G256" s="96">
        <f>'P&amp;L'!G52</f>
        <v>330.37200000000001</v>
      </c>
      <c r="H256" s="96">
        <f>'P&amp;L'!H52</f>
        <v>117.42247500000002</v>
      </c>
      <c r="I256" s="96">
        <f>'P&amp;L'!I52</f>
        <v>118.62895000000002</v>
      </c>
      <c r="J256" s="96">
        <f>'P&amp;L'!J52</f>
        <v>118.62895000000002</v>
      </c>
      <c r="K256" s="96">
        <f>'P&amp;L'!K52</f>
        <v>118.62895000000002</v>
      </c>
      <c r="L256" s="96">
        <f>'P&amp;L'!L52</f>
        <v>118.62895000000002</v>
      </c>
      <c r="M256" s="96">
        <f>'P&amp;L'!M52</f>
        <v>118.62895000000002</v>
      </c>
      <c r="N256" s="96">
        <f>'P&amp;L'!N52</f>
        <v>118.62895000000002</v>
      </c>
      <c r="O256" s="96">
        <f>'P&amp;L'!O52</f>
        <v>118.62895000000002</v>
      </c>
      <c r="P256" s="96">
        <f>'P&amp;L'!P52</f>
        <v>0</v>
      </c>
      <c r="Q256" s="96">
        <f>'P&amp;L'!Q52</f>
        <v>0</v>
      </c>
      <c r="R256" s="14"/>
    </row>
    <row r="257" spans="1:18" s="150" customFormat="1" ht="14.45" hidden="1" customHeight="1" outlineLevel="1" x14ac:dyDescent="0.25">
      <c r="B257" s="150" t="str">
        <f>'P&amp;L'!B53</f>
        <v>CORP</v>
      </c>
      <c r="C257" s="149"/>
      <c r="D257" s="96">
        <f>'P&amp;L'!D53</f>
        <v>31592.244999999999</v>
      </c>
      <c r="E257" s="96">
        <f>'P&amp;L'!E53</f>
        <v>32788.678</v>
      </c>
      <c r="F257" s="96">
        <f>'P&amp;L'!F53</f>
        <v>35255</v>
      </c>
      <c r="G257" s="96">
        <f>'P&amp;L'!G53</f>
        <v>22451.181</v>
      </c>
      <c r="H257" s="96">
        <f>'P&amp;L'!H53</f>
        <v>20026.546875</v>
      </c>
      <c r="I257" s="96">
        <f>'P&amp;L'!I53</f>
        <v>4920.3125</v>
      </c>
      <c r="J257" s="96">
        <f>'P&amp;L'!J53</f>
        <v>4920.3125</v>
      </c>
      <c r="K257" s="96">
        <f>'P&amp;L'!K53</f>
        <v>4920.3125</v>
      </c>
      <c r="L257" s="96">
        <f>'P&amp;L'!L53</f>
        <v>4920.3125</v>
      </c>
      <c r="M257" s="96">
        <f>'P&amp;L'!M53</f>
        <v>19681.25</v>
      </c>
      <c r="N257" s="96">
        <f>'P&amp;L'!N53</f>
        <v>19681.25</v>
      </c>
      <c r="O257" s="96">
        <f>'P&amp;L'!O53</f>
        <v>19681.25</v>
      </c>
      <c r="P257" s="96">
        <f>'P&amp;L'!P53</f>
        <v>19681.25</v>
      </c>
      <c r="Q257" s="96">
        <f>'P&amp;L'!Q53</f>
        <v>19681.25</v>
      </c>
      <c r="R257" s="14"/>
    </row>
    <row r="258" spans="1:18" s="150" customFormat="1" ht="14.45" hidden="1" customHeight="1" outlineLevel="1" x14ac:dyDescent="0.25">
      <c r="C258" s="147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7"/>
      <c r="O258" s="167"/>
      <c r="P258" s="167"/>
      <c r="Q258" s="167"/>
      <c r="R258" s="14"/>
    </row>
    <row r="259" spans="1:18" s="97" customFormat="1" ht="14.45" hidden="1" customHeight="1" outlineLevel="1" collapsed="1" x14ac:dyDescent="0.25">
      <c r="B259" s="97" t="str">
        <f>'P&amp;L'!B60</f>
        <v>Income taxes</v>
      </c>
      <c r="C259" s="148"/>
      <c r="D259" s="151">
        <f>'P&amp;L'!D60</f>
        <v>-28167.016</v>
      </c>
      <c r="E259" s="151">
        <f>'P&amp;L'!E60</f>
        <v>-36429.347000000002</v>
      </c>
      <c r="F259" s="151">
        <f>'P&amp;L'!F60</f>
        <v>-24798.9</v>
      </c>
      <c r="G259" s="151">
        <f>'P&amp;L'!G60</f>
        <v>-16906.525000000001</v>
      </c>
      <c r="H259" s="151">
        <f>'P&amp;L'!H60</f>
        <v>-3519.8890183598996</v>
      </c>
      <c r="I259" s="151">
        <f>'P&amp;L'!I60</f>
        <v>-4029.9390247021797</v>
      </c>
      <c r="J259" s="151">
        <f>'P&amp;L'!J60</f>
        <v>-4029.9390247021797</v>
      </c>
      <c r="K259" s="151">
        <f>'P&amp;L'!K60</f>
        <v>-4029.9390247021797</v>
      </c>
      <c r="L259" s="151">
        <f>'P&amp;L'!L60</f>
        <v>-4029.9390247021797</v>
      </c>
      <c r="M259" s="151">
        <f>'P&amp;L'!M60</f>
        <v>-12258.630311808718</v>
      </c>
      <c r="N259" s="151">
        <f>'P&amp;L'!N60</f>
        <v>-9209.7319921836061</v>
      </c>
      <c r="O259" s="151">
        <f>'P&amp;L'!O60</f>
        <v>-8842.1440502366022</v>
      </c>
      <c r="P259" s="151">
        <f>'P&amp;L'!P60</f>
        <v>-9549.8118658125895</v>
      </c>
      <c r="Q259" s="151">
        <f>'P&amp;L'!Q60</f>
        <v>-17619.756970026752</v>
      </c>
      <c r="R259" s="14"/>
    </row>
    <row r="260" spans="1:18" s="97" customFormat="1" ht="14.45" hidden="1" customHeight="1" outlineLevel="1" x14ac:dyDescent="0.25">
      <c r="B260" s="97" t="str">
        <f>'P&amp;L'!B61</f>
        <v>Biz1</v>
      </c>
      <c r="C260" s="149"/>
      <c r="D260" s="96">
        <f>'P&amp;L'!D61</f>
        <v>-488.76</v>
      </c>
      <c r="E260" s="96">
        <f>'P&amp;L'!E61</f>
        <v>-3278.962</v>
      </c>
      <c r="F260" s="96">
        <f>'P&amp;L'!F61</f>
        <v>1387.134</v>
      </c>
      <c r="G260" s="96">
        <f>'P&amp;L'!G61</f>
        <v>4200.7780000000002</v>
      </c>
      <c r="H260" s="96">
        <f>'P&amp;L'!H61</f>
        <v>18991.092256274111</v>
      </c>
      <c r="I260" s="96">
        <f>'P&amp;L'!I61</f>
        <v>2699.9392623266408</v>
      </c>
      <c r="J260" s="96">
        <f>'P&amp;L'!J61</f>
        <v>2699.9392623266408</v>
      </c>
      <c r="K260" s="96">
        <f>'P&amp;L'!K61</f>
        <v>2699.9392623266408</v>
      </c>
      <c r="L260" s="96">
        <f>'P&amp;L'!L61</f>
        <v>2699.9392623266408</v>
      </c>
      <c r="M260" s="96">
        <f>'P&amp;L'!M61</f>
        <v>11296.823203306563</v>
      </c>
      <c r="N260" s="96">
        <f>'P&amp;L'!N61</f>
        <v>15449.576771903303</v>
      </c>
      <c r="O260" s="96">
        <f>'P&amp;L'!O61</f>
        <v>16386.995498866469</v>
      </c>
      <c r="P260" s="96">
        <f>'P&amp;L'!P61</f>
        <v>15657.974472290482</v>
      </c>
      <c r="Q260" s="96">
        <f>'P&amp;L'!Q61</f>
        <v>7588.0293680763198</v>
      </c>
      <c r="R260" s="14"/>
    </row>
    <row r="261" spans="1:18" s="97" customFormat="1" ht="14.45" hidden="1" customHeight="1" outlineLevel="1" x14ac:dyDescent="0.25">
      <c r="B261" s="97" t="str">
        <f>'P&amp;L'!B62</f>
        <v>Biz2</v>
      </c>
      <c r="C261" s="149"/>
      <c r="D261" s="96">
        <f>'P&amp;L'!D62</f>
        <v>0</v>
      </c>
      <c r="E261" s="96">
        <f>'P&amp;L'!E62</f>
        <v>-2500.9319999999998</v>
      </c>
      <c r="F261" s="96">
        <f>'P&amp;L'!F62</f>
        <v>-312.03399999999999</v>
      </c>
      <c r="G261" s="96">
        <f>'P&amp;L'!G62</f>
        <v>463.34800000000001</v>
      </c>
      <c r="H261" s="96">
        <f>'P&amp;L'!H62</f>
        <v>461.988</v>
      </c>
      <c r="I261" s="96">
        <f>'P&amp;L'!I62</f>
        <v>14.908313824155927</v>
      </c>
      <c r="J261" s="96">
        <f>'P&amp;L'!J62</f>
        <v>14.908313824155927</v>
      </c>
      <c r="K261" s="96">
        <f>'P&amp;L'!K62</f>
        <v>14.908313824155927</v>
      </c>
      <c r="L261" s="96">
        <f>'P&amp;L'!L62</f>
        <v>14.908313824155927</v>
      </c>
      <c r="M261" s="96">
        <f>'P&amp;L'!M62</f>
        <v>123.69288829662372</v>
      </c>
      <c r="N261" s="96">
        <f>'P&amp;L'!N62</f>
        <v>102.82962493039292</v>
      </c>
      <c r="O261" s="96">
        <f>'P&amp;L'!O62</f>
        <v>29.656500868647747</v>
      </c>
      <c r="P261" s="96">
        <f>'P&amp;L'!P62</f>
        <v>51.009711868647756</v>
      </c>
      <c r="Q261" s="96">
        <f>'P&amp;L'!Q62</f>
        <v>51.009711868647756</v>
      </c>
      <c r="R261" s="14"/>
    </row>
    <row r="262" spans="1:18" s="150" customFormat="1" ht="14.45" hidden="1" customHeight="1" outlineLevel="1" x14ac:dyDescent="0.25">
      <c r="B262" s="150" t="str">
        <f>'P&amp;L'!B63</f>
        <v>CORP</v>
      </c>
      <c r="C262" s="149"/>
      <c r="D262" s="96">
        <f>'P&amp;L'!D63</f>
        <v>-27678.256000000001</v>
      </c>
      <c r="E262" s="96">
        <f>'P&amp;L'!E63</f>
        <v>-30649.453000000001</v>
      </c>
      <c r="F262" s="96">
        <f>'P&amp;L'!F63</f>
        <v>-25874</v>
      </c>
      <c r="G262" s="96">
        <f>'P&amp;L'!G63</f>
        <v>-21570.651000000002</v>
      </c>
      <c r="H262" s="96">
        <f>'P&amp;L'!H63</f>
        <v>-22972.969274634012</v>
      </c>
      <c r="I262" s="96">
        <f>'P&amp;L'!I63</f>
        <v>-6744.7866008529763</v>
      </c>
      <c r="J262" s="96">
        <f>'P&amp;L'!J63</f>
        <v>-6744.7866008529763</v>
      </c>
      <c r="K262" s="96">
        <f>'P&amp;L'!K63</f>
        <v>-6744.7866008529763</v>
      </c>
      <c r="L262" s="96">
        <f>'P&amp;L'!L63</f>
        <v>-6744.7866008529763</v>
      </c>
      <c r="M262" s="96">
        <f>'P&amp;L'!M63</f>
        <v>-23679.146403411905</v>
      </c>
      <c r="N262" s="96">
        <f>'P&amp;L'!N63</f>
        <v>-24762.138389017302</v>
      </c>
      <c r="O262" s="96">
        <f>'P&amp;L'!O63</f>
        <v>-25258.796049971719</v>
      </c>
      <c r="P262" s="96">
        <f>'P&amp;L'!P63</f>
        <v>-25258.796049971719</v>
      </c>
      <c r="Q262" s="96">
        <f>'P&amp;L'!Q63</f>
        <v>-25258.796049971719</v>
      </c>
      <c r="R262" s="14"/>
    </row>
    <row r="263" spans="1:18" s="150" customFormat="1" ht="14.45" hidden="1" customHeight="1" outlineLevel="1" x14ac:dyDescent="0.25">
      <c r="C263" s="147"/>
      <c r="D263" s="167"/>
      <c r="E263" s="167"/>
      <c r="F263" s="167"/>
      <c r="G263" s="167"/>
      <c r="H263" s="167"/>
      <c r="I263" s="167"/>
      <c r="J263" s="167"/>
      <c r="K263" s="167"/>
      <c r="L263" s="167"/>
      <c r="M263" s="167"/>
      <c r="N263" s="167"/>
      <c r="O263" s="167"/>
      <c r="P263" s="167"/>
      <c r="Q263" s="167"/>
      <c r="R263" s="14"/>
    </row>
    <row r="264" spans="1:18" s="97" customFormat="1" ht="14.45" hidden="1" customHeight="1" outlineLevel="1" collapsed="1" x14ac:dyDescent="0.25">
      <c r="B264" s="97" t="s">
        <v>144</v>
      </c>
      <c r="C264" s="148"/>
      <c r="D264" s="151">
        <f>'P&amp;L'!D70+'P&amp;L'!D80</f>
        <v>4054.0830000000001</v>
      </c>
      <c r="E264" s="151">
        <f>'P&amp;L'!E70+'P&amp;L'!E80</f>
        <v>907</v>
      </c>
      <c r="F264" s="151">
        <f>'P&amp;L'!F70+'P&amp;L'!F80</f>
        <v>-4614.7629999999999</v>
      </c>
      <c r="G264" s="151">
        <f>'P&amp;L'!G70+'P&amp;L'!G80</f>
        <v>-2692.6109999999999</v>
      </c>
      <c r="H264" s="151">
        <f>'P&amp;L'!H70+'P&amp;L'!H80</f>
        <v>-4335.1926828426276</v>
      </c>
      <c r="I264" s="151">
        <f>'P&amp;L'!I70+'P&amp;L'!I80</f>
        <v>-683.53323993622917</v>
      </c>
      <c r="J264" s="151">
        <f>'P&amp;L'!J70+'P&amp;L'!J80</f>
        <v>-683.53323993622917</v>
      </c>
      <c r="K264" s="151">
        <f>'P&amp;L'!K70+'P&amp;L'!K80</f>
        <v>-683.53323993622917</v>
      </c>
      <c r="L264" s="151">
        <f>'P&amp;L'!L70+'P&amp;L'!L80</f>
        <v>-683.53323993622917</v>
      </c>
      <c r="M264" s="151">
        <f>'P&amp;L'!M70+'P&amp;L'!M80</f>
        <v>-2734.1329597449167</v>
      </c>
      <c r="N264" s="151">
        <f>'P&amp;L'!N70+'P&amp;L'!N80</f>
        <v>-4091.3280806470393</v>
      </c>
      <c r="O264" s="151">
        <f>'P&amp;L'!O70+'P&amp;L'!O80</f>
        <v>-4442.3488362115768</v>
      </c>
      <c r="P264" s="151">
        <f>'P&amp;L'!P70+'P&amp;L'!P80</f>
        <v>-4587.8736229105234</v>
      </c>
      <c r="Q264" s="151">
        <f>'P&amp;L'!Q70+'P&amp;L'!Q80</f>
        <v>-3151.9293989228286</v>
      </c>
      <c r="R264" s="14"/>
    </row>
    <row r="265" spans="1:18" s="97" customFormat="1" ht="14.45" hidden="1" customHeight="1" outlineLevel="1" x14ac:dyDescent="0.25">
      <c r="B265" s="97" t="str">
        <f>'P&amp;L'!B71</f>
        <v>Biz1</v>
      </c>
      <c r="C265" s="149"/>
      <c r="D265" s="96">
        <f>'P&amp;L'!D71+'P&amp;L'!D81</f>
        <v>4054.0830000000001</v>
      </c>
      <c r="E265" s="96">
        <f>'P&amp;L'!E71+'P&amp;L'!E81</f>
        <v>907</v>
      </c>
      <c r="F265" s="96">
        <f>'P&amp;L'!F71+'P&amp;L'!F81</f>
        <v>-4660.9979999999996</v>
      </c>
      <c r="G265" s="96">
        <f>'P&amp;L'!G71+'P&amp;L'!G81</f>
        <v>-2692.6109999999999</v>
      </c>
      <c r="H265" s="96">
        <f>'P&amp;L'!H71+'P&amp;L'!H81</f>
        <v>-4335.1926828426276</v>
      </c>
      <c r="I265" s="96">
        <f>'P&amp;L'!I71+'P&amp;L'!I81</f>
        <v>-683.53323993622917</v>
      </c>
      <c r="J265" s="96">
        <f>'P&amp;L'!J71+'P&amp;L'!J81</f>
        <v>-683.53323993622917</v>
      </c>
      <c r="K265" s="96">
        <f>'P&amp;L'!K71+'P&amp;L'!K81</f>
        <v>-683.53323993622917</v>
      </c>
      <c r="L265" s="96">
        <f>'P&amp;L'!L71+'P&amp;L'!L81</f>
        <v>-683.53323993622917</v>
      </c>
      <c r="M265" s="96">
        <f>'P&amp;L'!M71+'P&amp;L'!M81</f>
        <v>-2734.1329597449167</v>
      </c>
      <c r="N265" s="96">
        <f>'P&amp;L'!N71+'P&amp;L'!N81</f>
        <v>-4091.3280806470393</v>
      </c>
      <c r="O265" s="96">
        <f>'P&amp;L'!O71+'P&amp;L'!O81</f>
        <v>-4442.3488362115768</v>
      </c>
      <c r="P265" s="96">
        <f>'P&amp;L'!P71+'P&amp;L'!P81</f>
        <v>-4587.8736229105234</v>
      </c>
      <c r="Q265" s="96">
        <f>'P&amp;L'!Q71+'P&amp;L'!Q81</f>
        <v>-3151.9293989228286</v>
      </c>
      <c r="R265" s="14"/>
    </row>
    <row r="266" spans="1:18" s="97" customFormat="1" ht="14.45" hidden="1" customHeight="1" outlineLevel="1" x14ac:dyDescent="0.25">
      <c r="B266" s="97" t="str">
        <f>'P&amp;L'!B72</f>
        <v>Biz2</v>
      </c>
      <c r="C266" s="149"/>
      <c r="D266" s="96">
        <f>'P&amp;L'!D72+'P&amp;L'!D82</f>
        <v>0</v>
      </c>
      <c r="E266" s="96">
        <f>'P&amp;L'!E72+'P&amp;L'!E82</f>
        <v>0</v>
      </c>
      <c r="F266" s="96">
        <f>'P&amp;L'!F72+'P&amp;L'!F82</f>
        <v>0</v>
      </c>
      <c r="G266" s="96">
        <f>'P&amp;L'!G72+'P&amp;L'!G82</f>
        <v>0</v>
      </c>
      <c r="H266" s="96">
        <f>'P&amp;L'!H72+'P&amp;L'!H82</f>
        <v>0</v>
      </c>
      <c r="I266" s="96">
        <f>'P&amp;L'!I72+'P&amp;L'!I82</f>
        <v>0</v>
      </c>
      <c r="J266" s="96">
        <f>'P&amp;L'!J72+'P&amp;L'!J82</f>
        <v>0</v>
      </c>
      <c r="K266" s="96">
        <f>'P&amp;L'!K72+'P&amp;L'!K82</f>
        <v>0</v>
      </c>
      <c r="L266" s="96">
        <f>'P&amp;L'!L72+'P&amp;L'!L82</f>
        <v>0</v>
      </c>
      <c r="M266" s="96">
        <f>'P&amp;L'!M72+'P&amp;L'!M82</f>
        <v>0</v>
      </c>
      <c r="N266" s="96">
        <f>'P&amp;L'!N72+'P&amp;L'!N82</f>
        <v>0</v>
      </c>
      <c r="O266" s="96">
        <f>'P&amp;L'!O72+'P&amp;L'!O82</f>
        <v>0</v>
      </c>
      <c r="P266" s="96">
        <f>'P&amp;L'!P72+'P&amp;L'!P82</f>
        <v>0</v>
      </c>
      <c r="Q266" s="96">
        <f>'P&amp;L'!Q72+'P&amp;L'!Q82</f>
        <v>0</v>
      </c>
      <c r="R266" s="14"/>
    </row>
    <row r="267" spans="1:18" s="150" customFormat="1" ht="14.45" hidden="1" customHeight="1" outlineLevel="1" x14ac:dyDescent="0.25">
      <c r="B267" s="150" t="str">
        <f>'P&amp;L'!B73</f>
        <v>CORP</v>
      </c>
      <c r="C267" s="149"/>
      <c r="D267" s="96">
        <f>'P&amp;L'!D73+'P&amp;L'!D83</f>
        <v>0</v>
      </c>
      <c r="E267" s="96">
        <f>'P&amp;L'!E73+'P&amp;L'!E83</f>
        <v>0</v>
      </c>
      <c r="F267" s="96">
        <f>'P&amp;L'!F73+'P&amp;L'!F83</f>
        <v>46.234999999999999</v>
      </c>
      <c r="G267" s="96">
        <f>'P&amp;L'!G73+'P&amp;L'!G83</f>
        <v>0</v>
      </c>
      <c r="H267" s="96">
        <f>'P&amp;L'!H73+'P&amp;L'!H83</f>
        <v>0</v>
      </c>
      <c r="I267" s="96">
        <f>'P&amp;L'!I73+'P&amp;L'!I83</f>
        <v>0</v>
      </c>
      <c r="J267" s="96">
        <f>'P&amp;L'!J73+'P&amp;L'!J83</f>
        <v>0</v>
      </c>
      <c r="K267" s="96">
        <f>'P&amp;L'!K73+'P&amp;L'!K83</f>
        <v>0</v>
      </c>
      <c r="L267" s="96">
        <f>'P&amp;L'!L73+'P&amp;L'!L83</f>
        <v>0</v>
      </c>
      <c r="M267" s="96">
        <f>'P&amp;L'!M73+'P&amp;L'!M83</f>
        <v>0</v>
      </c>
      <c r="N267" s="96">
        <f>'P&amp;L'!N73+'P&amp;L'!N83</f>
        <v>0</v>
      </c>
      <c r="O267" s="96">
        <f>'P&amp;L'!O73+'P&amp;L'!O83</f>
        <v>0</v>
      </c>
      <c r="P267" s="96">
        <f>'P&amp;L'!P73+'P&amp;L'!P83</f>
        <v>0</v>
      </c>
      <c r="Q267" s="96">
        <f>'P&amp;L'!Q73+'P&amp;L'!Q83</f>
        <v>0</v>
      </c>
      <c r="R267" s="14"/>
    </row>
    <row r="268" spans="1:18" s="150" customFormat="1" ht="14.45" hidden="1" customHeight="1" outlineLevel="1" x14ac:dyDescent="0.25">
      <c r="C268" s="147"/>
      <c r="D268" s="167"/>
      <c r="E268" s="167"/>
      <c r="F268" s="167"/>
      <c r="G268" s="167"/>
      <c r="H268" s="167"/>
      <c r="I268" s="167"/>
      <c r="J268" s="167"/>
      <c r="K268" s="167"/>
      <c r="L268" s="167"/>
      <c r="M268" s="167"/>
      <c r="N268" s="167"/>
      <c r="O268" s="167"/>
      <c r="P268" s="167"/>
      <c r="Q268" s="167"/>
      <c r="R268" s="14"/>
    </row>
    <row r="269" spans="1:18" s="97" customFormat="1" ht="14.45" hidden="1" customHeight="1" outlineLevel="1" collapsed="1" x14ac:dyDescent="0.25">
      <c r="A269" s="97" t="str">
        <f>'P&amp;L'!A85</f>
        <v>Net earnings</v>
      </c>
      <c r="C269" s="148"/>
      <c r="D269" s="137">
        <f>'P&amp;L'!D85</f>
        <v>-67132.880999999994</v>
      </c>
      <c r="E269" s="137">
        <f>'P&amp;L'!E85</f>
        <v>-129046.76199999999</v>
      </c>
      <c r="F269" s="137">
        <f>'P&amp;L'!F85</f>
        <v>-59159.503999999994</v>
      </c>
      <c r="G269" s="137">
        <f>'P&amp;L'!G85</f>
        <v>-29408.904152499454</v>
      </c>
      <c r="H269" s="137">
        <f>'P&amp;L'!H85</f>
        <v>-18550.681119697234</v>
      </c>
      <c r="I269" s="137">
        <f>'P&amp;L'!I85</f>
        <v>-6682.8885958601331</v>
      </c>
      <c r="J269" s="137">
        <f>'P&amp;L'!J85</f>
        <v>-6682.8885958601331</v>
      </c>
      <c r="K269" s="137">
        <f>'P&amp;L'!K85</f>
        <v>-6682.8885958601331</v>
      </c>
      <c r="L269" s="137">
        <f>'P&amp;L'!L85</f>
        <v>-6682.8885958601331</v>
      </c>
      <c r="M269" s="137">
        <f>'P&amp;L'!M85</f>
        <v>-20744.127935440531</v>
      </c>
      <c r="N269" s="137">
        <f>'P&amp;L'!N85</f>
        <v>-17591.724437190693</v>
      </c>
      <c r="O269" s="137">
        <f>'P&amp;L'!O85</f>
        <v>-17614.94782557894</v>
      </c>
      <c r="P269" s="137">
        <f>'P&amp;L'!P85</f>
        <v>-18756.728413141867</v>
      </c>
      <c r="Q269" s="137">
        <f>'P&amp;L'!Q85</f>
        <v>-29425.701845475418</v>
      </c>
      <c r="R269" s="14"/>
    </row>
    <row r="270" spans="1:18" s="97" customFormat="1" ht="14.45" hidden="1" customHeight="1" outlineLevel="1" x14ac:dyDescent="0.25">
      <c r="B270" s="97" t="str">
        <f>'P&amp;L'!B86</f>
        <v>Biz1</v>
      </c>
      <c r="C270" s="149"/>
      <c r="D270" s="96">
        <f>'P&amp;L'!D86</f>
        <v>-22884.607000000007</v>
      </c>
      <c r="E270" s="96">
        <f>'P&amp;L'!E86</f>
        <v>-41304.092000000004</v>
      </c>
      <c r="F270" s="96">
        <f>'P&amp;L'!F86</f>
        <v>-28495.070999999996</v>
      </c>
      <c r="G270" s="96">
        <f>'P&amp;L'!G86</f>
        <v>552.36684750054155</v>
      </c>
      <c r="H270" s="96">
        <f>'P&amp;L'!H86</f>
        <v>12669.787767253782</v>
      </c>
      <c r="I270" s="96">
        <f>'P&amp;L'!I86</f>
        <v>3366.3756535537318</v>
      </c>
      <c r="J270" s="96">
        <f>'P&amp;L'!J86</f>
        <v>3366.3756535537318</v>
      </c>
      <c r="K270" s="96">
        <f>'P&amp;L'!K86</f>
        <v>3366.3756535537318</v>
      </c>
      <c r="L270" s="96">
        <f>'P&amp;L'!L86</f>
        <v>3366.3756535537318</v>
      </c>
      <c r="M270" s="96">
        <f>'P&amp;L'!M86</f>
        <v>14211.101845214927</v>
      </c>
      <c r="N270" s="96">
        <f>'P&amp;L'!N86</f>
        <v>19083.037077207915</v>
      </c>
      <c r="O270" s="96">
        <f>'P&amp;L'!O86</f>
        <v>20138.144412088128</v>
      </c>
      <c r="P270" s="96">
        <f>'P&amp;L'!P86</f>
        <v>18899.0880855252</v>
      </c>
      <c r="Q270" s="96">
        <f>'P&amp;L'!Q86</f>
        <v>8230.1146531916493</v>
      </c>
      <c r="R270" s="14"/>
    </row>
    <row r="271" spans="1:18" s="97" customFormat="1" ht="14.45" hidden="1" customHeight="1" outlineLevel="1" x14ac:dyDescent="0.25">
      <c r="B271" s="97" t="str">
        <f>'P&amp;L'!B87</f>
        <v>Biz2</v>
      </c>
      <c r="C271" s="149"/>
      <c r="D271" s="96">
        <f>'P&amp;L'!D87</f>
        <v>-6254.9640000000018</v>
      </c>
      <c r="E271" s="96">
        <f>'P&amp;L'!E87</f>
        <v>1243.3009999999995</v>
      </c>
      <c r="F271" s="96">
        <f>'P&amp;L'!F87</f>
        <v>974.42100000000084</v>
      </c>
      <c r="G271" s="96">
        <f>'P&amp;L'!G87</f>
        <v>-455.68100000000072</v>
      </c>
      <c r="H271" s="96">
        <f>'P&amp;L'!H87</f>
        <v>-947.97047499999951</v>
      </c>
      <c r="I271" s="96">
        <f>'P&amp;L'!I87</f>
        <v>67.91565186559923</v>
      </c>
      <c r="J271" s="96">
        <f>'P&amp;L'!J87</f>
        <v>67.91565186559923</v>
      </c>
      <c r="K271" s="96">
        <f>'P&amp;L'!K87</f>
        <v>67.91565186559923</v>
      </c>
      <c r="L271" s="96">
        <f>'P&amp;L'!L87</f>
        <v>67.91565186559923</v>
      </c>
      <c r="M271" s="96">
        <f>'P&amp;L'!M87</f>
        <v>563.48982446239688</v>
      </c>
      <c r="N271" s="96">
        <f>'P&amp;L'!N87</f>
        <v>468.4460691273456</v>
      </c>
      <c r="O271" s="96">
        <f>'P&amp;L'!O87</f>
        <v>135.10183729050641</v>
      </c>
      <c r="P271" s="96">
        <f>'P&amp;L'!P87</f>
        <v>232.37757629050645</v>
      </c>
      <c r="Q271" s="96">
        <f>'P&amp;L'!Q87</f>
        <v>232.37757629050645</v>
      </c>
      <c r="R271" s="14"/>
    </row>
    <row r="272" spans="1:18" s="97" customFormat="1" ht="14.45" hidden="1" customHeight="1" outlineLevel="1" x14ac:dyDescent="0.25">
      <c r="B272" s="97" t="str">
        <f>'P&amp;L'!B88</f>
        <v>CORP</v>
      </c>
      <c r="C272" s="149"/>
      <c r="D272" s="96">
        <f>'P&amp;L'!D88</f>
        <v>-37993.30999999999</v>
      </c>
      <c r="E272" s="96">
        <f>'P&amp;L'!E88</f>
        <v>-88985.97099999999</v>
      </c>
      <c r="F272" s="96">
        <f>'P&amp;L'!F88</f>
        <v>-31638.853999999999</v>
      </c>
      <c r="G272" s="96">
        <f>'P&amp;L'!G88</f>
        <v>-29505.589999999993</v>
      </c>
      <c r="H272" s="96">
        <f>'P&amp;L'!H88</f>
        <v>-30272.498411951015</v>
      </c>
      <c r="I272" s="96">
        <f>'P&amp;L'!I88</f>
        <v>-10117.179901279464</v>
      </c>
      <c r="J272" s="96">
        <f>'P&amp;L'!J88</f>
        <v>-10117.179901279464</v>
      </c>
      <c r="K272" s="96">
        <f>'P&amp;L'!K88</f>
        <v>-10117.179901279464</v>
      </c>
      <c r="L272" s="96">
        <f>'P&amp;L'!L88</f>
        <v>-10117.179901279464</v>
      </c>
      <c r="M272" s="96">
        <f>'P&amp;L'!M88</f>
        <v>-35518.719605117854</v>
      </c>
      <c r="N272" s="96">
        <f>'P&amp;L'!N88</f>
        <v>-37143.207583525953</v>
      </c>
      <c r="O272" s="96">
        <f>'P&amp;L'!O88</f>
        <v>-37888.194074957573</v>
      </c>
      <c r="P272" s="96">
        <f>'P&amp;L'!P88</f>
        <v>-37888.194074957573</v>
      </c>
      <c r="Q272" s="96">
        <f>'P&amp;L'!Q88</f>
        <v>-37888.194074957573</v>
      </c>
      <c r="R272" s="14"/>
    </row>
    <row r="273" spans="1:18" s="97" customFormat="1" ht="14.45" hidden="1" customHeight="1" outlineLevel="1" x14ac:dyDescent="0.25">
      <c r="C273" s="147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4"/>
    </row>
    <row r="274" spans="1:18" s="97" customFormat="1" ht="14.45" hidden="1" customHeight="1" outlineLevel="1" collapsed="1" x14ac:dyDescent="0.25">
      <c r="A274" s="97" t="str">
        <f>'P&amp;L'!A90</f>
        <v>NOPAT</v>
      </c>
      <c r="C274" s="148"/>
      <c r="D274" s="137">
        <f>'P&amp;L'!D90</f>
        <v>-32956.587</v>
      </c>
      <c r="E274" s="137">
        <f>'P&amp;L'!E90</f>
        <v>-89267.747000000003</v>
      </c>
      <c r="F274" s="137">
        <f>'P&amp;L'!F90</f>
        <v>-15578.971999999998</v>
      </c>
      <c r="G274" s="137">
        <f>'P&amp;L'!G90</f>
        <v>-3334.5720013744553</v>
      </c>
      <c r="H274" s="137">
        <f>'P&amp;L'!H90</f>
        <v>6753.128038145398</v>
      </c>
      <c r="I274" s="137">
        <f>'P&amp;L'!I90</f>
        <v>-546.19211092390378</v>
      </c>
      <c r="J274" s="137">
        <f>'P&amp;L'!J90</f>
        <v>-546.19211092390378</v>
      </c>
      <c r="K274" s="137">
        <f>'P&amp;L'!K90</f>
        <v>-546.19211092390378</v>
      </c>
      <c r="L274" s="137">
        <f>'P&amp;L'!L90</f>
        <v>-546.19211092390378</v>
      </c>
      <c r="M274" s="137">
        <f>'P&amp;L'!M90</f>
        <v>2204.105769304384</v>
      </c>
      <c r="N274" s="137">
        <f>'P&amp;L'!N90</f>
        <v>6749.4825934563487</v>
      </c>
      <c r="O274" s="137">
        <f>'P&amp;L'!O90</f>
        <v>7127.2799606326334</v>
      </c>
      <c r="P274" s="137">
        <f>'P&amp;L'!P90</f>
        <v>5512.3952097686524</v>
      </c>
      <c r="Q274" s="137">
        <f>'P&amp;L'!Q90</f>
        <v>-6592.5224465525935</v>
      </c>
      <c r="R274" s="14"/>
    </row>
    <row r="275" spans="1:18" s="97" customFormat="1" ht="14.45" hidden="1" customHeight="1" outlineLevel="1" x14ac:dyDescent="0.25">
      <c r="B275" s="97" t="str">
        <f>'P&amp;L'!B91</f>
        <v>Biz1</v>
      </c>
      <c r="C275" s="149"/>
      <c r="D275" s="96">
        <f>'P&amp;L'!D91</f>
        <v>-26209.611000000004</v>
      </c>
      <c r="E275" s="96">
        <f>'P&amp;L'!E91</f>
        <v>-38978.47</v>
      </c>
      <c r="F275" s="96">
        <f>'P&amp;L'!F91</f>
        <v>-21966.055</v>
      </c>
      <c r="G275" s="96">
        <f>'P&amp;L'!G91</f>
        <v>3845.1459986255413</v>
      </c>
      <c r="H275" s="96">
        <f>'P&amp;L'!H91</f>
        <v>17829.627575096412</v>
      </c>
      <c r="I275" s="96">
        <f>'P&amp;L'!I91</f>
        <v>4464.1306884899604</v>
      </c>
      <c r="J275" s="96">
        <f>'P&amp;L'!J91</f>
        <v>4464.1306884899604</v>
      </c>
      <c r="K275" s="96">
        <f>'P&amp;L'!K91</f>
        <v>4464.1306884899604</v>
      </c>
      <c r="L275" s="96">
        <f>'P&amp;L'!L91</f>
        <v>4464.1306884899604</v>
      </c>
      <c r="M275" s="96">
        <f>'P&amp;L'!M91</f>
        <v>17359.456599959842</v>
      </c>
      <c r="N275" s="96">
        <f>'P&amp;L'!N91</f>
        <v>23624.365157854954</v>
      </c>
      <c r="O275" s="96">
        <f>'P&amp;L'!O91</f>
        <v>25080.493248299703</v>
      </c>
      <c r="P275" s="96">
        <f>'P&amp;L'!P91</f>
        <v>23486.961708435723</v>
      </c>
      <c r="Q275" s="96">
        <f>'P&amp;L'!Q91</f>
        <v>11382.044052114477</v>
      </c>
      <c r="R275" s="14"/>
    </row>
    <row r="276" spans="1:18" s="97" customFormat="1" ht="14.45" hidden="1" customHeight="1" outlineLevel="1" x14ac:dyDescent="0.25">
      <c r="B276" s="97" t="str">
        <f>'P&amp;L'!B92</f>
        <v>Biz2</v>
      </c>
      <c r="C276" s="149"/>
      <c r="D276" s="96">
        <f>'P&amp;L'!D92</f>
        <v>-345.91100000000051</v>
      </c>
      <c r="E276" s="96">
        <f>'P&amp;L'!E92</f>
        <v>5908.0159999999996</v>
      </c>
      <c r="F276" s="96">
        <f>'P&amp;L'!F92</f>
        <v>2817.1720000000009</v>
      </c>
      <c r="G276" s="96">
        <f>'P&amp;L'!G92</f>
        <v>-125.30900000000071</v>
      </c>
      <c r="H276" s="96">
        <f>'P&amp;L'!H92</f>
        <v>-830.54799999999955</v>
      </c>
      <c r="I276" s="96">
        <f>'P&amp;L'!I92</f>
        <v>186.54460186559925</v>
      </c>
      <c r="J276" s="96">
        <f>'P&amp;L'!J92</f>
        <v>186.54460186559925</v>
      </c>
      <c r="K276" s="96">
        <f>'P&amp;L'!K92</f>
        <v>186.54460186559925</v>
      </c>
      <c r="L276" s="96">
        <f>'P&amp;L'!L92</f>
        <v>186.54460186559925</v>
      </c>
      <c r="M276" s="96">
        <f>'P&amp;L'!M92</f>
        <v>682.11877446239691</v>
      </c>
      <c r="N276" s="96">
        <f>'P&amp;L'!N92</f>
        <v>587.07501912734563</v>
      </c>
      <c r="O276" s="96">
        <f>'P&amp;L'!O92</f>
        <v>253.73078729050644</v>
      </c>
      <c r="P276" s="96">
        <f>'P&amp;L'!P92</f>
        <v>232.37757629050645</v>
      </c>
      <c r="Q276" s="96">
        <f>'P&amp;L'!Q92</f>
        <v>232.37757629050645</v>
      </c>
      <c r="R276" s="14"/>
    </row>
    <row r="277" spans="1:18" s="97" customFormat="1" ht="14.45" hidden="1" customHeight="1" outlineLevel="1" x14ac:dyDescent="0.25">
      <c r="B277" s="97" t="str">
        <f>'P&amp;L'!B93</f>
        <v>CORP</v>
      </c>
      <c r="C277" s="149"/>
      <c r="D277" s="96">
        <f>'P&amp;L'!D93</f>
        <v>-6401.0649999999951</v>
      </c>
      <c r="E277" s="96">
        <f>'P&amp;L'!E93</f>
        <v>-56197.292999999998</v>
      </c>
      <c r="F277" s="96">
        <f>'P&amp;L'!F93</f>
        <v>3569.9110000000001</v>
      </c>
      <c r="G277" s="96">
        <f>'P&amp;L'!G93</f>
        <v>-7054.408999999996</v>
      </c>
      <c r="H277" s="96">
        <f>'P&amp;L'!H93</f>
        <v>-10245.951536951015</v>
      </c>
      <c r="I277" s="96">
        <f>'P&amp;L'!I93</f>
        <v>-5196.8674012794636</v>
      </c>
      <c r="J277" s="96">
        <f>'P&amp;L'!J93</f>
        <v>-5196.8674012794636</v>
      </c>
      <c r="K277" s="96">
        <f>'P&amp;L'!K93</f>
        <v>-5196.8674012794636</v>
      </c>
      <c r="L277" s="96">
        <f>'P&amp;L'!L93</f>
        <v>-5196.8674012794636</v>
      </c>
      <c r="M277" s="96">
        <f>'P&amp;L'!M93</f>
        <v>-15837.469605117854</v>
      </c>
      <c r="N277" s="96">
        <f>'P&amp;L'!N93</f>
        <v>-17461.957583525953</v>
      </c>
      <c r="O277" s="96">
        <f>'P&amp;L'!O93</f>
        <v>-18206.944074957577</v>
      </c>
      <c r="P277" s="96">
        <f>'P&amp;L'!P93</f>
        <v>-18206.944074957577</v>
      </c>
      <c r="Q277" s="96">
        <f>'P&amp;L'!Q93</f>
        <v>-18206.944074957577</v>
      </c>
      <c r="R277" s="14"/>
    </row>
    <row r="278" spans="1:18" s="37" customFormat="1" ht="14.45" hidden="1" customHeight="1" outlineLevel="1" collapsed="1" x14ac:dyDescent="0.25">
      <c r="C278" s="147"/>
      <c r="H278" s="1"/>
      <c r="M278" s="1"/>
      <c r="N278" s="1"/>
      <c r="O278" s="1"/>
      <c r="P278" s="1"/>
      <c r="Q278" s="1"/>
      <c r="R278" s="14"/>
    </row>
    <row r="279" spans="1:18" s="55" customFormat="1" collapsed="1" x14ac:dyDescent="0.25">
      <c r="A279" s="19" t="s">
        <v>153</v>
      </c>
      <c r="B279" s="43" t="s">
        <v>112</v>
      </c>
      <c r="C279" s="152"/>
      <c r="D279" s="56"/>
      <c r="E279" s="56"/>
      <c r="F279" s="56"/>
      <c r="G279" s="57"/>
      <c r="H279" s="58"/>
      <c r="I279" s="59"/>
      <c r="J279" s="59"/>
      <c r="K279" s="59"/>
      <c r="L279" s="59"/>
      <c r="M279" s="58"/>
      <c r="N279" s="58"/>
      <c r="O279" s="58"/>
      <c r="P279" s="58"/>
      <c r="Q279" s="58"/>
      <c r="R279" s="59"/>
    </row>
    <row r="280" spans="1:18" s="55" customFormat="1" ht="14.45" hidden="1" customHeight="1" outlineLevel="1" x14ac:dyDescent="0.25">
      <c r="A280" s="43" t="str">
        <f>BalSheet!A4</f>
        <v>ASSETS</v>
      </c>
      <c r="C280" s="152"/>
      <c r="D280" s="56"/>
      <c r="E280" s="56"/>
      <c r="F280" s="56"/>
      <c r="G280" s="57"/>
      <c r="H280" s="58"/>
      <c r="I280" s="59"/>
      <c r="J280" s="59"/>
      <c r="K280" s="59"/>
      <c r="L280" s="59"/>
      <c r="M280" s="58"/>
      <c r="N280" s="58"/>
      <c r="O280" s="58"/>
      <c r="P280" s="58"/>
      <c r="Q280" s="58"/>
      <c r="R280" s="59"/>
    </row>
    <row r="281" spans="1:18" s="63" customFormat="1" ht="14.45" hidden="1" customHeight="1" outlineLevel="1" x14ac:dyDescent="0.25">
      <c r="B281" s="63" t="str">
        <f>BalSheet!B5</f>
        <v>Cash &amp; cash equivalents</v>
      </c>
      <c r="C281" s="153"/>
      <c r="D281" s="160">
        <f>BalSheet!D5</f>
        <v>466424.57</v>
      </c>
      <c r="E281" s="159">
        <f>BalSheet!E5</f>
        <v>420279.25084764388</v>
      </c>
      <c r="F281" s="159">
        <f>BalSheet!F5</f>
        <v>369121.00739532651</v>
      </c>
      <c r="G281" s="159">
        <f>BalSheet!G5</f>
        <v>350656.80433801003</v>
      </c>
      <c r="H281" s="159">
        <f>BalSheet!H5</f>
        <v>273895.76867741952</v>
      </c>
      <c r="I281" s="159">
        <f>BalSheet!I5</f>
        <v>273884.49496199063</v>
      </c>
      <c r="J281" s="159">
        <f>BalSheet!J5</f>
        <v>273873.22124656168</v>
      </c>
      <c r="K281" s="159">
        <f>BalSheet!K5</f>
        <v>273861.94753113278</v>
      </c>
      <c r="L281" s="159">
        <f>BalSheet!L5</f>
        <v>273850.67381570389</v>
      </c>
      <c r="M281" s="159">
        <f>BalSheet!M5</f>
        <v>175894.11591470969</v>
      </c>
      <c r="N281" s="159">
        <f>BalSheet!N5</f>
        <v>192778.93940343658</v>
      </c>
      <c r="O281" s="159">
        <f>BalSheet!O5</f>
        <v>202321.00752506062</v>
      </c>
      <c r="P281" s="159">
        <f>BalSheet!P5</f>
        <v>212862.49030878319</v>
      </c>
      <c r="Q281" s="159">
        <f>BalSheet!Q5</f>
        <v>201905.39443272943</v>
      </c>
      <c r="R281" s="59"/>
    </row>
    <row r="282" spans="1:18" s="63" customFormat="1" ht="14.45" hidden="1" customHeight="1" outlineLevel="1" x14ac:dyDescent="0.25">
      <c r="B282" s="63" t="str">
        <f>BalSheet!B6</f>
        <v>Biz1</v>
      </c>
      <c r="C282" s="154"/>
      <c r="D282" s="64">
        <f>BalSheet!D6</f>
        <v>36512.87999999999</v>
      </c>
      <c r="E282" s="64">
        <f>BalSheet!E6</f>
        <v>14402.437513419201</v>
      </c>
      <c r="F282" s="64">
        <f>BalSheet!F6</f>
        <v>0.32110067818575772</v>
      </c>
      <c r="G282" s="64">
        <f>BalSheet!G6</f>
        <v>6967.1167183239195</v>
      </c>
      <c r="H282" s="64">
        <f>BalSheet!H6</f>
        <v>14331.774802389187</v>
      </c>
      <c r="I282" s="64">
        <f>BalSheet!I6</f>
        <v>20622.970698874138</v>
      </c>
      <c r="J282" s="64">
        <f>BalSheet!J6</f>
        <v>26914.166595359089</v>
      </c>
      <c r="K282" s="64">
        <f>BalSheet!K6</f>
        <v>33205.36249184404</v>
      </c>
      <c r="L282" s="64">
        <f>BalSheet!L6</f>
        <v>39496.558388328995</v>
      </c>
      <c r="M282" s="64">
        <f>BalSheet!M6</f>
        <v>37476.661769186932</v>
      </c>
      <c r="N282" s="64">
        <f>BalSheet!N6</f>
        <v>77077.423976968334</v>
      </c>
      <c r="O282" s="64">
        <f>BalSheet!O6</f>
        <v>112460.76560543315</v>
      </c>
      <c r="P282" s="64">
        <f>BalSheet!P6</f>
        <v>157597.31606102875</v>
      </c>
      <c r="Q282" s="64">
        <f>BalSheet!Q6</f>
        <v>181898.80982305665</v>
      </c>
      <c r="R282" s="59"/>
    </row>
    <row r="283" spans="1:18" s="63" customFormat="1" ht="14.45" hidden="1" customHeight="1" outlineLevel="1" x14ac:dyDescent="0.25">
      <c r="B283" s="63" t="str">
        <f>BalSheet!B7</f>
        <v>Biz2</v>
      </c>
      <c r="C283" s="154"/>
      <c r="D283" s="64">
        <f>BalSheet!D7</f>
        <v>0</v>
      </c>
      <c r="E283" s="64">
        <f>BalSheet!E7</f>
        <v>7423.0043342246972</v>
      </c>
      <c r="F283" s="64">
        <f>BalSheet!F7</f>
        <v>12202.534294648296</v>
      </c>
      <c r="G283" s="64">
        <f>BalSheet!G7</f>
        <v>6824.036940848664</v>
      </c>
      <c r="H283" s="64">
        <f>BalSheet!H7</f>
        <v>13133.9115498478</v>
      </c>
      <c r="I283" s="64">
        <f>BalSheet!I7</f>
        <v>13611.8272017134</v>
      </c>
      <c r="J283" s="64">
        <f>BalSheet!J7</f>
        <v>14089.742853579</v>
      </c>
      <c r="K283" s="64">
        <f>BalSheet!K7</f>
        <v>14567.6585054446</v>
      </c>
      <c r="L283" s="64">
        <f>BalSheet!L7</f>
        <v>15045.5741573102</v>
      </c>
      <c r="M283" s="64">
        <f>BalSheet!M7</f>
        <v>11157.250184729532</v>
      </c>
      <c r="N283" s="64">
        <f>BalSheet!N7</f>
        <v>14487.961556335824</v>
      </c>
      <c r="O283" s="64">
        <f>BalSheet!O7</f>
        <v>16364.668145312513</v>
      </c>
      <c r="P283" s="64">
        <f>BalSheet!P7</f>
        <v>18517.476948397056</v>
      </c>
      <c r="Q283" s="64">
        <f>BalSheet!Q7</f>
        <v>20006.58460967278</v>
      </c>
      <c r="R283" s="59"/>
    </row>
    <row r="284" spans="1:18" s="63" customFormat="1" ht="14.45" hidden="1" customHeight="1" outlineLevel="1" x14ac:dyDescent="0.25">
      <c r="B284" s="63" t="str">
        <f>BalSheet!B8</f>
        <v>CORP</v>
      </c>
      <c r="C284" s="154"/>
      <c r="D284" s="64">
        <f>BalSheet!D8</f>
        <v>429911.69</v>
      </c>
      <c r="E284" s="64">
        <f>BalSheet!E8</f>
        <v>398453.80900000001</v>
      </c>
      <c r="F284" s="64">
        <f>BalSheet!F8</f>
        <v>356918.152</v>
      </c>
      <c r="G284" s="64">
        <f>BalSheet!G8</f>
        <v>336865.65067883744</v>
      </c>
      <c r="H284" s="64">
        <f>BalSheet!H8</f>
        <v>246430.08232518253</v>
      </c>
      <c r="I284" s="64">
        <f>BalSheet!I8</f>
        <v>239649.69706140307</v>
      </c>
      <c r="J284" s="64">
        <f>BalSheet!J8</f>
        <v>232869.31179762361</v>
      </c>
      <c r="K284" s="64">
        <f>BalSheet!K8</f>
        <v>226088.92653384415</v>
      </c>
      <c r="L284" s="64">
        <f>BalSheet!L8</f>
        <v>219308.54127006468</v>
      </c>
      <c r="M284" s="64">
        <f>BalSheet!M8</f>
        <v>127260.20396079322</v>
      </c>
      <c r="N284" s="64">
        <f>BalSheet!N8</f>
        <v>101213.55387013243</v>
      </c>
      <c r="O284" s="64">
        <f>BalSheet!O8</f>
        <v>73495.573774314966</v>
      </c>
      <c r="P284" s="64">
        <f>BalSheet!P8</f>
        <v>36747.697299357387</v>
      </c>
      <c r="Q284" s="64">
        <f>BalSheet!Q8</f>
        <v>0</v>
      </c>
      <c r="R284" s="59"/>
    </row>
    <row r="285" spans="1:18" s="63" customFormat="1" ht="14.45" hidden="1" customHeight="1" outlineLevel="1" x14ac:dyDescent="0.25">
      <c r="C285" s="152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  <c r="O285" s="64"/>
      <c r="P285" s="64"/>
      <c r="Q285" s="64"/>
      <c r="R285" s="59"/>
    </row>
    <row r="286" spans="1:18" s="63" customFormat="1" ht="14.45" hidden="1" customHeight="1" outlineLevel="1" x14ac:dyDescent="0.25">
      <c r="B286" s="63" t="str">
        <f>BalSheet!B10</f>
        <v>Restricted cash</v>
      </c>
      <c r="C286" s="153"/>
      <c r="D286" s="160">
        <f>BalSheet!D10</f>
        <v>1231</v>
      </c>
      <c r="E286" s="159">
        <f>BalSheet!E10</f>
        <v>1083</v>
      </c>
      <c r="F286" s="159">
        <f>BalSheet!F10</f>
        <v>2525</v>
      </c>
      <c r="G286" s="159">
        <f>BalSheet!G10</f>
        <v>1972.895</v>
      </c>
      <c r="H286" s="159">
        <f>BalSheet!H10</f>
        <v>1972.895</v>
      </c>
      <c r="I286" s="159">
        <f>BalSheet!I10</f>
        <v>1972.895</v>
      </c>
      <c r="J286" s="159">
        <f>BalSheet!J10</f>
        <v>1972.895</v>
      </c>
      <c r="K286" s="159">
        <f>BalSheet!K10</f>
        <v>1972.895</v>
      </c>
      <c r="L286" s="159">
        <f>BalSheet!L10</f>
        <v>1972.895</v>
      </c>
      <c r="M286" s="159">
        <f>BalSheet!M10</f>
        <v>1972.895</v>
      </c>
      <c r="N286" s="159">
        <f>BalSheet!N10</f>
        <v>1972.895</v>
      </c>
      <c r="O286" s="159">
        <f>BalSheet!O10</f>
        <v>1972.895</v>
      </c>
      <c r="P286" s="159">
        <f>BalSheet!P10</f>
        <v>1972.895</v>
      </c>
      <c r="Q286" s="159">
        <f>BalSheet!Q10</f>
        <v>1972.895</v>
      </c>
      <c r="R286" s="59"/>
    </row>
    <row r="287" spans="1:18" s="63" customFormat="1" ht="14.45" hidden="1" customHeight="1" outlineLevel="1" x14ac:dyDescent="0.25">
      <c r="B287" s="63" t="str">
        <f>BalSheet!B11</f>
        <v>Biz1</v>
      </c>
      <c r="C287" s="154"/>
      <c r="D287" s="64">
        <f>BalSheet!D11</f>
        <v>0</v>
      </c>
      <c r="E287" s="64">
        <f>BalSheet!E11</f>
        <v>0</v>
      </c>
      <c r="F287" s="64">
        <f>BalSheet!F11</f>
        <v>0</v>
      </c>
      <c r="G287" s="64">
        <f>BalSheet!G11</f>
        <v>0</v>
      </c>
      <c r="H287" s="64">
        <f>BalSheet!H11</f>
        <v>0</v>
      </c>
      <c r="I287" s="64">
        <f>BalSheet!I11</f>
        <v>0</v>
      </c>
      <c r="J287" s="64">
        <f>BalSheet!J11</f>
        <v>0</v>
      </c>
      <c r="K287" s="64">
        <f>BalSheet!K11</f>
        <v>0</v>
      </c>
      <c r="L287" s="64">
        <f>BalSheet!L11</f>
        <v>0</v>
      </c>
      <c r="M287" s="64">
        <f>BalSheet!M11</f>
        <v>0</v>
      </c>
      <c r="N287" s="64">
        <f>BalSheet!N11</f>
        <v>0</v>
      </c>
      <c r="O287" s="64">
        <f>BalSheet!O11</f>
        <v>0</v>
      </c>
      <c r="P287" s="64">
        <f>BalSheet!P11</f>
        <v>0</v>
      </c>
      <c r="Q287" s="64">
        <f>BalSheet!Q11</f>
        <v>0</v>
      </c>
      <c r="R287" s="59"/>
    </row>
    <row r="288" spans="1:18" s="63" customFormat="1" ht="14.45" hidden="1" customHeight="1" outlineLevel="1" x14ac:dyDescent="0.25">
      <c r="B288" s="63" t="str">
        <f>BalSheet!B12</f>
        <v>Biz2</v>
      </c>
      <c r="C288" s="154"/>
      <c r="D288" s="64">
        <f>BalSheet!D12</f>
        <v>0</v>
      </c>
      <c r="E288" s="64">
        <f>BalSheet!E12</f>
        <v>0</v>
      </c>
      <c r="F288" s="64">
        <f>BalSheet!F12</f>
        <v>0</v>
      </c>
      <c r="G288" s="64">
        <f>BalSheet!G12</f>
        <v>0</v>
      </c>
      <c r="H288" s="64">
        <f>BalSheet!H12</f>
        <v>0</v>
      </c>
      <c r="I288" s="64">
        <f>BalSheet!I12</f>
        <v>0</v>
      </c>
      <c r="J288" s="64">
        <f>BalSheet!J12</f>
        <v>0</v>
      </c>
      <c r="K288" s="64">
        <f>BalSheet!K12</f>
        <v>0</v>
      </c>
      <c r="L288" s="64">
        <f>BalSheet!L12</f>
        <v>0</v>
      </c>
      <c r="M288" s="64">
        <f>BalSheet!M12</f>
        <v>0</v>
      </c>
      <c r="N288" s="64">
        <f>BalSheet!N12</f>
        <v>0</v>
      </c>
      <c r="O288" s="64">
        <f>BalSheet!O12</f>
        <v>0</v>
      </c>
      <c r="P288" s="64">
        <f>BalSheet!P12</f>
        <v>0</v>
      </c>
      <c r="Q288" s="64">
        <f>BalSheet!Q12</f>
        <v>0</v>
      </c>
      <c r="R288" s="59"/>
    </row>
    <row r="289" spans="2:18" s="63" customFormat="1" ht="14.45" hidden="1" customHeight="1" outlineLevel="1" x14ac:dyDescent="0.25">
      <c r="B289" s="63" t="str">
        <f>BalSheet!B13</f>
        <v>CORP</v>
      </c>
      <c r="C289" s="154"/>
      <c r="D289" s="64">
        <f>BalSheet!D13</f>
        <v>1231</v>
      </c>
      <c r="E289" s="64">
        <f>BalSheet!E13</f>
        <v>1083</v>
      </c>
      <c r="F289" s="64">
        <f>BalSheet!F13</f>
        <v>2525</v>
      </c>
      <c r="G289" s="64">
        <f>BalSheet!G13</f>
        <v>1972.895</v>
      </c>
      <c r="H289" s="64">
        <f>BalSheet!H13</f>
        <v>1972.895</v>
      </c>
      <c r="I289" s="64">
        <f>BalSheet!I13</f>
        <v>1972.895</v>
      </c>
      <c r="J289" s="64">
        <f>BalSheet!J13</f>
        <v>1972.895</v>
      </c>
      <c r="K289" s="64">
        <f>BalSheet!K13</f>
        <v>1972.895</v>
      </c>
      <c r="L289" s="64">
        <f>BalSheet!L13</f>
        <v>1972.895</v>
      </c>
      <c r="M289" s="64">
        <f>BalSheet!M13</f>
        <v>1972.895</v>
      </c>
      <c r="N289" s="64">
        <f>BalSheet!N13</f>
        <v>1972.895</v>
      </c>
      <c r="O289" s="64">
        <f>BalSheet!O13</f>
        <v>1972.895</v>
      </c>
      <c r="P289" s="64">
        <f>BalSheet!P13</f>
        <v>1972.895</v>
      </c>
      <c r="Q289" s="64">
        <f>BalSheet!Q13</f>
        <v>1972.895</v>
      </c>
      <c r="R289" s="59"/>
    </row>
    <row r="290" spans="2:18" s="63" customFormat="1" ht="14.45" hidden="1" customHeight="1" outlineLevel="1" x14ac:dyDescent="0.25">
      <c r="C290" s="152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  <c r="O290" s="64"/>
      <c r="P290" s="64"/>
      <c r="Q290" s="64"/>
      <c r="R290" s="59"/>
    </row>
    <row r="291" spans="2:18" s="63" customFormat="1" ht="14.45" hidden="1" customHeight="1" outlineLevel="1" collapsed="1" x14ac:dyDescent="0.25">
      <c r="B291" s="63" t="str">
        <f>BalSheet!B15</f>
        <v>Accounts receivable</v>
      </c>
      <c r="C291" s="153"/>
      <c r="D291" s="160">
        <f>BalSheet!D15</f>
        <v>61115.75261243491</v>
      </c>
      <c r="E291" s="159">
        <f>BalSheet!E15</f>
        <v>28295.622740550745</v>
      </c>
      <c r="F291" s="159">
        <f>BalSheet!F15</f>
        <v>18711.66981374464</v>
      </c>
      <c r="G291" s="159">
        <f>BalSheet!G15</f>
        <v>44157.346174966951</v>
      </c>
      <c r="H291" s="159">
        <f>BalSheet!H15</f>
        <v>57187.626910180945</v>
      </c>
      <c r="I291" s="159">
        <f>BalSheet!I15</f>
        <v>51276.060138743553</v>
      </c>
      <c r="J291" s="159">
        <f>BalSheet!J15</f>
        <v>51276.060138743553</v>
      </c>
      <c r="K291" s="159">
        <f>BalSheet!K15</f>
        <v>51276.060138743553</v>
      </c>
      <c r="L291" s="159">
        <f>BalSheet!L15</f>
        <v>51276.060138743553</v>
      </c>
      <c r="M291" s="159">
        <f>BalSheet!M15</f>
        <v>73605.884444056428</v>
      </c>
      <c r="N291" s="159">
        <f>BalSheet!N15</f>
        <v>84145.626625745863</v>
      </c>
      <c r="O291" s="159">
        <f>BalSheet!O15</f>
        <v>87102.121601778315</v>
      </c>
      <c r="P291" s="159">
        <f>BalSheet!P15</f>
        <v>83449.987257585526</v>
      </c>
      <c r="Q291" s="159">
        <f>BalSheet!Q15</f>
        <v>80476.405185664786</v>
      </c>
      <c r="R291" s="59"/>
    </row>
    <row r="292" spans="2:18" s="63" customFormat="1" ht="14.45" hidden="1" customHeight="1" outlineLevel="1" x14ac:dyDescent="0.25">
      <c r="B292" s="63" t="str">
        <f>BalSheet!B16</f>
        <v>Biz1</v>
      </c>
      <c r="C292" s="154"/>
      <c r="D292" s="64">
        <f>BalSheet!D16</f>
        <v>40116.580448119938</v>
      </c>
      <c r="E292" s="64">
        <f>BalSheet!E16</f>
        <v>17380.423016089477</v>
      </c>
      <c r="F292" s="64">
        <f>BalSheet!F16</f>
        <v>12470.349260194816</v>
      </c>
      <c r="G292" s="64">
        <f>BalSheet!G16</f>
        <v>38470.351237076764</v>
      </c>
      <c r="H292" s="64">
        <f>BalSheet!H16</f>
        <v>50018.700913295499</v>
      </c>
      <c r="I292" s="64">
        <f>BalSheet!I16</f>
        <v>44107.134141858114</v>
      </c>
      <c r="J292" s="64">
        <f>BalSheet!J16</f>
        <v>44107.134141858114</v>
      </c>
      <c r="K292" s="64">
        <f>BalSheet!K16</f>
        <v>44107.134141858114</v>
      </c>
      <c r="L292" s="64">
        <f>BalSheet!L16</f>
        <v>44107.134141858114</v>
      </c>
      <c r="M292" s="64">
        <f>BalSheet!M16</f>
        <v>63352.152295844418</v>
      </c>
      <c r="N292" s="64">
        <f>BalSheet!N16</f>
        <v>73627.217394962281</v>
      </c>
      <c r="O292" s="64">
        <f>BalSheet!O16</f>
        <v>76323.239690377886</v>
      </c>
      <c r="P292" s="64">
        <f>BalSheet!P16</f>
        <v>72671.105346185097</v>
      </c>
      <c r="Q292" s="64">
        <f>BalSheet!Q16</f>
        <v>69697.523274264357</v>
      </c>
      <c r="R292" s="59"/>
    </row>
    <row r="293" spans="2:18" s="63" customFormat="1" ht="14.45" hidden="1" customHeight="1" outlineLevel="1" x14ac:dyDescent="0.25">
      <c r="B293" s="63" t="str">
        <f>BalSheet!B17</f>
        <v>Biz2</v>
      </c>
      <c r="C293" s="154"/>
      <c r="D293" s="64">
        <f>BalSheet!D17</f>
        <v>20999.172164314969</v>
      </c>
      <c r="E293" s="64">
        <f>BalSheet!E17</f>
        <v>10915.199724461268</v>
      </c>
      <c r="F293" s="64">
        <f>BalSheet!F17</f>
        <v>6241.3205535498228</v>
      </c>
      <c r="G293" s="64">
        <f>BalSheet!G17</f>
        <v>5686.9949378901865</v>
      </c>
      <c r="H293" s="64">
        <f>BalSheet!H17</f>
        <v>7168.9259968854421</v>
      </c>
      <c r="I293" s="64">
        <f>BalSheet!I17</f>
        <v>7168.9259968854412</v>
      </c>
      <c r="J293" s="64">
        <f>BalSheet!J17</f>
        <v>7168.9259968854412</v>
      </c>
      <c r="K293" s="64">
        <f>BalSheet!K17</f>
        <v>7168.9259968854412</v>
      </c>
      <c r="L293" s="64">
        <f>BalSheet!L17</f>
        <v>7168.9259968854412</v>
      </c>
      <c r="M293" s="64">
        <f>BalSheet!M17</f>
        <v>10253.732148212017</v>
      </c>
      <c r="N293" s="64">
        <f>BalSheet!N17</f>
        <v>10518.40923078358</v>
      </c>
      <c r="O293" s="64">
        <f>BalSheet!O17</f>
        <v>10778.881911400425</v>
      </c>
      <c r="P293" s="64">
        <f>BalSheet!P17</f>
        <v>10778.881911400425</v>
      </c>
      <c r="Q293" s="64">
        <f>BalSheet!Q17</f>
        <v>10778.881911400425</v>
      </c>
      <c r="R293" s="59"/>
    </row>
    <row r="294" spans="2:18" s="63" customFormat="1" ht="14.45" hidden="1" customHeight="1" outlineLevel="1" x14ac:dyDescent="0.25">
      <c r="B294" s="63" t="str">
        <f>BalSheet!B18</f>
        <v>CORP</v>
      </c>
      <c r="C294" s="154"/>
      <c r="D294" s="64">
        <f>BalSheet!D18</f>
        <v>0</v>
      </c>
      <c r="E294" s="64">
        <f>BalSheet!E18</f>
        <v>0</v>
      </c>
      <c r="F294" s="64">
        <f>BalSheet!F18</f>
        <v>0</v>
      </c>
      <c r="G294" s="64">
        <f>BalSheet!G18</f>
        <v>0</v>
      </c>
      <c r="H294" s="64">
        <f>BalSheet!H18</f>
        <v>0</v>
      </c>
      <c r="I294" s="64">
        <f>BalSheet!I18</f>
        <v>0</v>
      </c>
      <c r="J294" s="64">
        <f>BalSheet!J18</f>
        <v>0</v>
      </c>
      <c r="K294" s="64">
        <f>BalSheet!K18</f>
        <v>0</v>
      </c>
      <c r="L294" s="64">
        <f>BalSheet!L18</f>
        <v>0</v>
      </c>
      <c r="M294" s="64">
        <f>BalSheet!M18</f>
        <v>0</v>
      </c>
      <c r="N294" s="64">
        <f>BalSheet!N18</f>
        <v>0</v>
      </c>
      <c r="O294" s="64">
        <f>BalSheet!O18</f>
        <v>0</v>
      </c>
      <c r="P294" s="64">
        <f>BalSheet!P18</f>
        <v>0</v>
      </c>
      <c r="Q294" s="64">
        <f>BalSheet!Q18</f>
        <v>0</v>
      </c>
      <c r="R294" s="59"/>
    </row>
    <row r="295" spans="2:18" s="63" customFormat="1" ht="14.45" hidden="1" customHeight="1" outlineLevel="1" x14ac:dyDescent="0.25">
      <c r="C295" s="152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  <c r="O295" s="64"/>
      <c r="P295" s="64"/>
      <c r="Q295" s="64"/>
      <c r="R295" s="59"/>
    </row>
    <row r="296" spans="2:18" s="63" customFormat="1" ht="14.45" hidden="1" customHeight="1" outlineLevel="1" collapsed="1" x14ac:dyDescent="0.25">
      <c r="B296" s="63" t="str">
        <f>BalSheet!B20</f>
        <v>Inventory</v>
      </c>
      <c r="C296" s="153"/>
      <c r="D296" s="160">
        <f>BalSheet!D20</f>
        <v>97759.270618165494</v>
      </c>
      <c r="E296" s="159">
        <f>BalSheet!E20</f>
        <v>41113.062512325589</v>
      </c>
      <c r="F296" s="159">
        <f>BalSheet!F20</f>
        <v>42866.453224119374</v>
      </c>
      <c r="G296" s="159">
        <f>BalSheet!G20</f>
        <v>113135.65347031951</v>
      </c>
      <c r="H296" s="159">
        <f>BalSheet!H20</f>
        <v>118804.02264436959</v>
      </c>
      <c r="I296" s="159">
        <f>BalSheet!I20</f>
        <v>106502.69851780208</v>
      </c>
      <c r="J296" s="159">
        <f>BalSheet!J20</f>
        <v>106502.69851780208</v>
      </c>
      <c r="K296" s="159">
        <f>BalSheet!K20</f>
        <v>106502.69851780208</v>
      </c>
      <c r="L296" s="159">
        <f>BalSheet!L20</f>
        <v>106502.69851780208</v>
      </c>
      <c r="M296" s="159">
        <f>BalSheet!M20</f>
        <v>141161.04395815192</v>
      </c>
      <c r="N296" s="159">
        <f>BalSheet!N20</f>
        <v>149414.39720058351</v>
      </c>
      <c r="O296" s="159">
        <f>BalSheet!O20</f>
        <v>154559.45467265227</v>
      </c>
      <c r="P296" s="159">
        <f>BalSheet!P20</f>
        <v>147999.70032232965</v>
      </c>
      <c r="Q296" s="159">
        <f>BalSheet!Q20</f>
        <v>142835.97949726842</v>
      </c>
      <c r="R296" s="59"/>
    </row>
    <row r="297" spans="2:18" s="63" customFormat="1" ht="14.45" hidden="1" customHeight="1" outlineLevel="1" x14ac:dyDescent="0.25">
      <c r="B297" s="63" t="str">
        <f>BalSheet!B21</f>
        <v>Biz1</v>
      </c>
      <c r="C297" s="154"/>
      <c r="D297" s="64">
        <f>BalSheet!D21</f>
        <v>65487.768275637573</v>
      </c>
      <c r="E297" s="64">
        <f>BalSheet!E21</f>
        <v>27187.922083073594</v>
      </c>
      <c r="F297" s="64">
        <f>BalSheet!F21</f>
        <v>29983.288946440458</v>
      </c>
      <c r="G297" s="64">
        <f>BalSheet!G21</f>
        <v>99345.119091113185</v>
      </c>
      <c r="H297" s="64">
        <f>BalSheet!H21</f>
        <v>103895.12256641797</v>
      </c>
      <c r="I297" s="64">
        <f>BalSheet!I21</f>
        <v>91593.798439850463</v>
      </c>
      <c r="J297" s="64">
        <f>BalSheet!J21</f>
        <v>91593.798439850463</v>
      </c>
      <c r="K297" s="64">
        <f>BalSheet!K21</f>
        <v>91593.798439850463</v>
      </c>
      <c r="L297" s="64">
        <f>BalSheet!L21</f>
        <v>91593.798439850463</v>
      </c>
      <c r="M297" s="64">
        <f>BalSheet!M21</f>
        <v>121700.91263659157</v>
      </c>
      <c r="N297" s="64">
        <f>BalSheet!N21</f>
        <v>130877.38662221604</v>
      </c>
      <c r="O297" s="64">
        <f>BalSheet!O21</f>
        <v>135561.66569175691</v>
      </c>
      <c r="P297" s="64">
        <f>BalSheet!P21</f>
        <v>129001.91134143429</v>
      </c>
      <c r="Q297" s="64">
        <f>BalSheet!Q21</f>
        <v>123838.19051637306</v>
      </c>
      <c r="R297" s="59"/>
    </row>
    <row r="298" spans="2:18" s="63" customFormat="1" ht="14.45" hidden="1" customHeight="1" outlineLevel="1" x14ac:dyDescent="0.25">
      <c r="B298" s="63" t="str">
        <f>BalSheet!B22</f>
        <v>Biz2</v>
      </c>
      <c r="C298" s="154"/>
      <c r="D298" s="64">
        <f>BalSheet!D22</f>
        <v>32271.502342527929</v>
      </c>
      <c r="E298" s="64">
        <f>BalSheet!E22</f>
        <v>13925.140429251993</v>
      </c>
      <c r="F298" s="64">
        <f>BalSheet!F22</f>
        <v>12883.164277678914</v>
      </c>
      <c r="G298" s="64">
        <f>BalSheet!G22</f>
        <v>13790.534379206323</v>
      </c>
      <c r="H298" s="64">
        <f>BalSheet!H22</f>
        <v>14908.900077951626</v>
      </c>
      <c r="I298" s="64">
        <f>BalSheet!I22</f>
        <v>14908.900077951626</v>
      </c>
      <c r="J298" s="64">
        <f>BalSheet!J22</f>
        <v>14908.900077951626</v>
      </c>
      <c r="K298" s="64">
        <f>BalSheet!K22</f>
        <v>14908.900077951626</v>
      </c>
      <c r="L298" s="64">
        <f>BalSheet!L22</f>
        <v>14908.900077951626</v>
      </c>
      <c r="M298" s="64">
        <f>BalSheet!M22</f>
        <v>19460.131321560344</v>
      </c>
      <c r="N298" s="64">
        <f>BalSheet!N22</f>
        <v>18537.010578367473</v>
      </c>
      <c r="O298" s="64">
        <f>BalSheet!O22</f>
        <v>18997.78898089537</v>
      </c>
      <c r="P298" s="64">
        <f>BalSheet!P22</f>
        <v>18997.78898089537</v>
      </c>
      <c r="Q298" s="64">
        <f>BalSheet!Q22</f>
        <v>18997.78898089537</v>
      </c>
      <c r="R298" s="59"/>
    </row>
    <row r="299" spans="2:18" s="63" customFormat="1" ht="14.45" hidden="1" customHeight="1" outlineLevel="1" x14ac:dyDescent="0.25">
      <c r="B299" s="63" t="str">
        <f>BalSheet!B23</f>
        <v>CORP</v>
      </c>
      <c r="C299" s="154"/>
      <c r="D299" s="64">
        <f>BalSheet!D23</f>
        <v>0</v>
      </c>
      <c r="E299" s="64">
        <f>BalSheet!E23</f>
        <v>0</v>
      </c>
      <c r="F299" s="64">
        <f>BalSheet!F23</f>
        <v>0</v>
      </c>
      <c r="G299" s="64">
        <f>BalSheet!G23</f>
        <v>0</v>
      </c>
      <c r="H299" s="64">
        <f>BalSheet!H23</f>
        <v>0</v>
      </c>
      <c r="I299" s="64">
        <f>BalSheet!I23</f>
        <v>0</v>
      </c>
      <c r="J299" s="64">
        <f>BalSheet!J23</f>
        <v>0</v>
      </c>
      <c r="K299" s="64">
        <f>BalSheet!K23</f>
        <v>0</v>
      </c>
      <c r="L299" s="64">
        <f>BalSheet!L23</f>
        <v>0</v>
      </c>
      <c r="M299" s="64">
        <f>BalSheet!M23</f>
        <v>0</v>
      </c>
      <c r="N299" s="64">
        <f>BalSheet!N23</f>
        <v>0</v>
      </c>
      <c r="O299" s="64">
        <f>BalSheet!O23</f>
        <v>0</v>
      </c>
      <c r="P299" s="64">
        <f>BalSheet!P23</f>
        <v>0</v>
      </c>
      <c r="Q299" s="64">
        <f>BalSheet!Q23</f>
        <v>0</v>
      </c>
      <c r="R299" s="59"/>
    </row>
    <row r="300" spans="2:18" s="63" customFormat="1" ht="14.45" hidden="1" customHeight="1" outlineLevel="1" x14ac:dyDescent="0.25">
      <c r="C300" s="152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  <c r="O300" s="64"/>
      <c r="P300" s="64"/>
      <c r="Q300" s="64"/>
      <c r="R300" s="59"/>
    </row>
    <row r="301" spans="2:18" s="63" customFormat="1" ht="14.45" hidden="1" customHeight="1" outlineLevel="1" x14ac:dyDescent="0.25">
      <c r="B301" s="63" t="str">
        <f>BalSheet!B25</f>
        <v>Assets held for sale</v>
      </c>
      <c r="C301" s="153"/>
      <c r="D301" s="160">
        <f>BalSheet!D25</f>
        <v>0</v>
      </c>
      <c r="E301" s="159">
        <f>BalSheet!E25</f>
        <v>0</v>
      </c>
      <c r="F301" s="159">
        <f>BalSheet!F25</f>
        <v>0</v>
      </c>
      <c r="G301" s="159">
        <f>BalSheet!G25</f>
        <v>0</v>
      </c>
      <c r="H301" s="159">
        <f>BalSheet!H25</f>
        <v>0</v>
      </c>
      <c r="I301" s="159">
        <f>BalSheet!I25</f>
        <v>0</v>
      </c>
      <c r="J301" s="159">
        <f>BalSheet!J25</f>
        <v>0</v>
      </c>
      <c r="K301" s="159">
        <f>BalSheet!K25</f>
        <v>0</v>
      </c>
      <c r="L301" s="159">
        <f>BalSheet!L25</f>
        <v>0</v>
      </c>
      <c r="M301" s="159">
        <f>BalSheet!M25</f>
        <v>0</v>
      </c>
      <c r="N301" s="159">
        <f>BalSheet!N25</f>
        <v>0</v>
      </c>
      <c r="O301" s="159">
        <f>BalSheet!O25</f>
        <v>0</v>
      </c>
      <c r="P301" s="159">
        <f>BalSheet!P25</f>
        <v>0</v>
      </c>
      <c r="Q301" s="159">
        <f>BalSheet!Q25</f>
        <v>0</v>
      </c>
      <c r="R301" s="59"/>
    </row>
    <row r="302" spans="2:18" s="63" customFormat="1" ht="14.45" hidden="1" customHeight="1" outlineLevel="1" x14ac:dyDescent="0.25">
      <c r="B302" s="63" t="str">
        <f>BalSheet!B26</f>
        <v>Biz1</v>
      </c>
      <c r="C302" s="154"/>
      <c r="D302" s="64">
        <f>BalSheet!D26</f>
        <v>0</v>
      </c>
      <c r="E302" s="64">
        <f>BalSheet!E26</f>
        <v>0</v>
      </c>
      <c r="F302" s="64">
        <f>BalSheet!F26</f>
        <v>0</v>
      </c>
      <c r="G302" s="64">
        <f>BalSheet!G26</f>
        <v>0</v>
      </c>
      <c r="H302" s="64">
        <f>BalSheet!H26</f>
        <v>0</v>
      </c>
      <c r="I302" s="64">
        <f>BalSheet!I26</f>
        <v>0</v>
      </c>
      <c r="J302" s="64">
        <f>BalSheet!J26</f>
        <v>0</v>
      </c>
      <c r="K302" s="64">
        <f>BalSheet!K26</f>
        <v>0</v>
      </c>
      <c r="L302" s="64">
        <f>BalSheet!L26</f>
        <v>0</v>
      </c>
      <c r="M302" s="64">
        <f>BalSheet!M26</f>
        <v>0</v>
      </c>
      <c r="N302" s="64">
        <f>BalSheet!N26</f>
        <v>0</v>
      </c>
      <c r="O302" s="64">
        <f>BalSheet!O26</f>
        <v>0</v>
      </c>
      <c r="P302" s="64">
        <f>BalSheet!P26</f>
        <v>0</v>
      </c>
      <c r="Q302" s="64">
        <f>BalSheet!Q26</f>
        <v>0</v>
      </c>
      <c r="R302" s="59"/>
    </row>
    <row r="303" spans="2:18" s="63" customFormat="1" ht="14.45" hidden="1" customHeight="1" outlineLevel="1" x14ac:dyDescent="0.25">
      <c r="B303" s="63" t="str">
        <f>BalSheet!B27</f>
        <v>Biz2</v>
      </c>
      <c r="C303" s="154"/>
      <c r="D303" s="64">
        <f>BalSheet!D27</f>
        <v>0</v>
      </c>
      <c r="E303" s="64">
        <f>BalSheet!E27</f>
        <v>0</v>
      </c>
      <c r="F303" s="64">
        <f>BalSheet!F27</f>
        <v>0</v>
      </c>
      <c r="G303" s="64">
        <f>BalSheet!G27</f>
        <v>0</v>
      </c>
      <c r="H303" s="64">
        <f>BalSheet!H27</f>
        <v>0</v>
      </c>
      <c r="I303" s="64">
        <f>BalSheet!I27</f>
        <v>0</v>
      </c>
      <c r="J303" s="64">
        <f>BalSheet!J27</f>
        <v>0</v>
      </c>
      <c r="K303" s="64">
        <f>BalSheet!K27</f>
        <v>0</v>
      </c>
      <c r="L303" s="64">
        <f>BalSheet!L27</f>
        <v>0</v>
      </c>
      <c r="M303" s="64">
        <f>BalSheet!M27</f>
        <v>0</v>
      </c>
      <c r="N303" s="64">
        <f>BalSheet!N27</f>
        <v>0</v>
      </c>
      <c r="O303" s="64">
        <f>BalSheet!O27</f>
        <v>0</v>
      </c>
      <c r="P303" s="64">
        <f>BalSheet!P27</f>
        <v>0</v>
      </c>
      <c r="Q303" s="64">
        <f>BalSheet!Q27</f>
        <v>0</v>
      </c>
      <c r="R303" s="59"/>
    </row>
    <row r="304" spans="2:18" s="63" customFormat="1" ht="14.45" hidden="1" customHeight="1" outlineLevel="1" x14ac:dyDescent="0.25">
      <c r="B304" s="63" t="str">
        <f>BalSheet!B28</f>
        <v>CORP</v>
      </c>
      <c r="C304" s="154"/>
      <c r="D304" s="64">
        <f>BalSheet!D28</f>
        <v>0</v>
      </c>
      <c r="E304" s="64">
        <f>BalSheet!E28</f>
        <v>0</v>
      </c>
      <c r="F304" s="64">
        <f>BalSheet!F28</f>
        <v>0</v>
      </c>
      <c r="G304" s="64">
        <f>BalSheet!G28</f>
        <v>0</v>
      </c>
      <c r="H304" s="64">
        <f>BalSheet!H28</f>
        <v>0</v>
      </c>
      <c r="I304" s="64">
        <f>BalSheet!I28</f>
        <v>0</v>
      </c>
      <c r="J304" s="64">
        <f>BalSheet!J28</f>
        <v>0</v>
      </c>
      <c r="K304" s="64">
        <f>BalSheet!K28</f>
        <v>0</v>
      </c>
      <c r="L304" s="64">
        <f>BalSheet!L28</f>
        <v>0</v>
      </c>
      <c r="M304" s="64">
        <f>BalSheet!M28</f>
        <v>0</v>
      </c>
      <c r="N304" s="64">
        <f>BalSheet!N28</f>
        <v>0</v>
      </c>
      <c r="O304" s="64">
        <f>BalSheet!O28</f>
        <v>0</v>
      </c>
      <c r="P304" s="64">
        <f>BalSheet!P28</f>
        <v>0</v>
      </c>
      <c r="Q304" s="64">
        <f>BalSheet!Q28</f>
        <v>0</v>
      </c>
      <c r="R304" s="59"/>
    </row>
    <row r="305" spans="2:18" s="63" customFormat="1" ht="14.45" hidden="1" customHeight="1" outlineLevel="1" x14ac:dyDescent="0.25">
      <c r="C305" s="152"/>
      <c r="D305" s="64"/>
      <c r="E305" s="64"/>
      <c r="F305" s="64"/>
      <c r="G305" s="64"/>
      <c r="H305" s="64"/>
      <c r="I305" s="64"/>
      <c r="J305" s="64"/>
      <c r="K305" s="64"/>
      <c r="L305" s="64"/>
      <c r="M305" s="64"/>
      <c r="N305" s="64"/>
      <c r="O305" s="64"/>
      <c r="P305" s="64"/>
      <c r="Q305" s="64"/>
      <c r="R305" s="59"/>
    </row>
    <row r="306" spans="2:18" s="63" customFormat="1" ht="14.45" hidden="1" customHeight="1" outlineLevel="1" x14ac:dyDescent="0.25">
      <c r="B306" s="132" t="str">
        <f>BalSheet!B30</f>
        <v>Invest. in direct finance leases</v>
      </c>
      <c r="C306" s="153"/>
      <c r="D306" s="160">
        <f>BalSheet!D30</f>
        <v>0</v>
      </c>
      <c r="E306" s="159">
        <f>BalSheet!E30</f>
        <v>0</v>
      </c>
      <c r="F306" s="159">
        <f>BalSheet!F30</f>
        <v>0</v>
      </c>
      <c r="G306" s="159">
        <f>BalSheet!G30</f>
        <v>0</v>
      </c>
      <c r="H306" s="159">
        <f>BalSheet!H30</f>
        <v>0</v>
      </c>
      <c r="I306" s="159">
        <f>BalSheet!I30</f>
        <v>0</v>
      </c>
      <c r="J306" s="159">
        <f>BalSheet!J30</f>
        <v>0</v>
      </c>
      <c r="K306" s="159">
        <f>BalSheet!K30</f>
        <v>0</v>
      </c>
      <c r="L306" s="159">
        <f>BalSheet!L30</f>
        <v>0</v>
      </c>
      <c r="M306" s="159">
        <f>BalSheet!M30</f>
        <v>0</v>
      </c>
      <c r="N306" s="159">
        <f>BalSheet!N30</f>
        <v>0</v>
      </c>
      <c r="O306" s="159">
        <f>BalSheet!O30</f>
        <v>0</v>
      </c>
      <c r="P306" s="159">
        <f>BalSheet!P30</f>
        <v>0</v>
      </c>
      <c r="Q306" s="159">
        <f>BalSheet!Q30</f>
        <v>0</v>
      </c>
      <c r="R306" s="59"/>
    </row>
    <row r="307" spans="2:18" s="63" customFormat="1" ht="14.45" hidden="1" customHeight="1" outlineLevel="1" x14ac:dyDescent="0.25">
      <c r="B307" s="63" t="str">
        <f>BalSheet!B31</f>
        <v>Biz1</v>
      </c>
      <c r="C307" s="154"/>
      <c r="D307" s="64">
        <f>BalSheet!D31</f>
        <v>0</v>
      </c>
      <c r="E307" s="64">
        <f>BalSheet!E31</f>
        <v>0</v>
      </c>
      <c r="F307" s="64">
        <f>BalSheet!F31</f>
        <v>0</v>
      </c>
      <c r="G307" s="64">
        <f>BalSheet!G31</f>
        <v>0</v>
      </c>
      <c r="H307" s="64">
        <f>BalSheet!H31</f>
        <v>0</v>
      </c>
      <c r="I307" s="64">
        <f>BalSheet!I31</f>
        <v>0</v>
      </c>
      <c r="J307" s="64">
        <f>BalSheet!J31</f>
        <v>0</v>
      </c>
      <c r="K307" s="64">
        <f>BalSheet!K31</f>
        <v>0</v>
      </c>
      <c r="L307" s="64">
        <f>BalSheet!L31</f>
        <v>0</v>
      </c>
      <c r="M307" s="64">
        <f>BalSheet!M31</f>
        <v>0</v>
      </c>
      <c r="N307" s="64">
        <f>BalSheet!N31</f>
        <v>0</v>
      </c>
      <c r="O307" s="64">
        <f>BalSheet!O31</f>
        <v>0</v>
      </c>
      <c r="P307" s="64">
        <f>BalSheet!P31</f>
        <v>0</v>
      </c>
      <c r="Q307" s="64">
        <f>BalSheet!Q31</f>
        <v>0</v>
      </c>
      <c r="R307" s="59"/>
    </row>
    <row r="308" spans="2:18" s="63" customFormat="1" ht="14.45" hidden="1" customHeight="1" outlineLevel="1" x14ac:dyDescent="0.25">
      <c r="B308" s="63" t="str">
        <f>BalSheet!B32</f>
        <v>Biz2</v>
      </c>
      <c r="C308" s="154"/>
      <c r="D308" s="64">
        <f>BalSheet!D32</f>
        <v>0</v>
      </c>
      <c r="E308" s="64">
        <f>BalSheet!E32</f>
        <v>0</v>
      </c>
      <c r="F308" s="64">
        <f>BalSheet!F32</f>
        <v>0</v>
      </c>
      <c r="G308" s="64">
        <f>BalSheet!G32</f>
        <v>0</v>
      </c>
      <c r="H308" s="64">
        <f>BalSheet!H32</f>
        <v>0</v>
      </c>
      <c r="I308" s="64">
        <f>BalSheet!I32</f>
        <v>0</v>
      </c>
      <c r="J308" s="64">
        <f>BalSheet!J32</f>
        <v>0</v>
      </c>
      <c r="K308" s="64">
        <f>BalSheet!K32</f>
        <v>0</v>
      </c>
      <c r="L308" s="64">
        <f>BalSheet!L32</f>
        <v>0</v>
      </c>
      <c r="M308" s="64">
        <f>BalSheet!M32</f>
        <v>0</v>
      </c>
      <c r="N308" s="64">
        <f>BalSheet!N32</f>
        <v>0</v>
      </c>
      <c r="O308" s="64">
        <f>BalSheet!O32</f>
        <v>0</v>
      </c>
      <c r="P308" s="64">
        <f>BalSheet!P32</f>
        <v>0</v>
      </c>
      <c r="Q308" s="64">
        <f>BalSheet!Q32</f>
        <v>0</v>
      </c>
      <c r="R308" s="59"/>
    </row>
    <row r="309" spans="2:18" s="63" customFormat="1" ht="14.45" hidden="1" customHeight="1" outlineLevel="1" x14ac:dyDescent="0.25">
      <c r="B309" s="63" t="str">
        <f>BalSheet!B33</f>
        <v>CORP</v>
      </c>
      <c r="C309" s="154"/>
      <c r="D309" s="64">
        <f>BalSheet!D33</f>
        <v>0</v>
      </c>
      <c r="E309" s="64">
        <f>BalSheet!E33</f>
        <v>0</v>
      </c>
      <c r="F309" s="64">
        <f>BalSheet!F33</f>
        <v>0</v>
      </c>
      <c r="G309" s="64">
        <f>BalSheet!G33</f>
        <v>0</v>
      </c>
      <c r="H309" s="64">
        <f>BalSheet!H33</f>
        <v>0</v>
      </c>
      <c r="I309" s="64">
        <f>BalSheet!I33</f>
        <v>0</v>
      </c>
      <c r="J309" s="64">
        <f>BalSheet!J33</f>
        <v>0</v>
      </c>
      <c r="K309" s="64">
        <f>BalSheet!K33</f>
        <v>0</v>
      </c>
      <c r="L309" s="64">
        <f>BalSheet!L33</f>
        <v>0</v>
      </c>
      <c r="M309" s="64">
        <f>BalSheet!M33</f>
        <v>0</v>
      </c>
      <c r="N309" s="64">
        <f>BalSheet!N33</f>
        <v>0</v>
      </c>
      <c r="O309" s="64">
        <f>BalSheet!O33</f>
        <v>0</v>
      </c>
      <c r="P309" s="64">
        <f>BalSheet!P33</f>
        <v>0</v>
      </c>
      <c r="Q309" s="64">
        <f>BalSheet!Q33</f>
        <v>0</v>
      </c>
      <c r="R309" s="59"/>
    </row>
    <row r="310" spans="2:18" s="63" customFormat="1" ht="14.45" hidden="1" customHeight="1" outlineLevel="1" x14ac:dyDescent="0.25">
      <c r="C310" s="152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4"/>
      <c r="O310" s="64"/>
      <c r="P310" s="64"/>
      <c r="Q310" s="64"/>
      <c r="R310" s="59"/>
    </row>
    <row r="311" spans="2:18" s="66" customFormat="1" ht="14.45" hidden="1" customHeight="1" outlineLevel="1" collapsed="1" x14ac:dyDescent="0.25">
      <c r="B311" s="66" t="s">
        <v>113</v>
      </c>
      <c r="C311" s="155"/>
      <c r="D311" s="156">
        <f t="shared" ref="D311:Q311" si="125">SUM(D312:D314)</f>
        <v>626530.59323060047</v>
      </c>
      <c r="E311" s="156">
        <f t="shared" si="125"/>
        <v>490770.93610052025</v>
      </c>
      <c r="F311" s="156">
        <f t="shared" si="125"/>
        <v>433224.1304331905</v>
      </c>
      <c r="G311" s="156">
        <f t="shared" si="125"/>
        <v>509922.69898329652</v>
      </c>
      <c r="H311" s="156">
        <f t="shared" si="125"/>
        <v>451860.31323197007</v>
      </c>
      <c r="I311" s="156">
        <f t="shared" si="125"/>
        <v>433636.14861853624</v>
      </c>
      <c r="J311" s="156">
        <f t="shared" si="125"/>
        <v>433624.87490310729</v>
      </c>
      <c r="K311" s="156">
        <f t="shared" si="125"/>
        <v>433613.6011876784</v>
      </c>
      <c r="L311" s="156">
        <f t="shared" si="125"/>
        <v>433602.32747224951</v>
      </c>
      <c r="M311" s="156">
        <f t="shared" si="125"/>
        <v>392633.93931691808</v>
      </c>
      <c r="N311" s="156">
        <f t="shared" si="125"/>
        <v>428311.85822976596</v>
      </c>
      <c r="O311" s="156">
        <f t="shared" si="125"/>
        <v>445955.47879949125</v>
      </c>
      <c r="P311" s="156">
        <f t="shared" si="125"/>
        <v>446285.07288869837</v>
      </c>
      <c r="Q311" s="156">
        <f t="shared" si="125"/>
        <v>427190.67411566264</v>
      </c>
      <c r="R311" s="59"/>
    </row>
    <row r="312" spans="2:18" s="63" customFormat="1" ht="14.45" hidden="1" customHeight="1" outlineLevel="1" x14ac:dyDescent="0.25">
      <c r="B312" s="63" t="str">
        <f>BalSheet!B31</f>
        <v>Biz1</v>
      </c>
      <c r="C312" s="154"/>
      <c r="D312" s="64">
        <f t="shared" ref="D312:Q312" si="126">SUM(D282,D287,D292,D297,D302,D307)</f>
        <v>142117.22872375749</v>
      </c>
      <c r="E312" s="64">
        <f t="shared" si="126"/>
        <v>58970.782612582276</v>
      </c>
      <c r="F312" s="64">
        <f t="shared" si="126"/>
        <v>42453.95930731346</v>
      </c>
      <c r="G312" s="64">
        <f t="shared" si="126"/>
        <v>144782.58704651386</v>
      </c>
      <c r="H312" s="64">
        <f t="shared" si="126"/>
        <v>168245.59828210267</v>
      </c>
      <c r="I312" s="64">
        <f t="shared" si="126"/>
        <v>156323.90328058272</v>
      </c>
      <c r="J312" s="64">
        <f t="shared" si="126"/>
        <v>162615.09917706766</v>
      </c>
      <c r="K312" s="64">
        <f t="shared" si="126"/>
        <v>168906.29507355264</v>
      </c>
      <c r="L312" s="64">
        <f t="shared" si="126"/>
        <v>175197.49097003759</v>
      </c>
      <c r="M312" s="64">
        <f t="shared" si="126"/>
        <v>222529.72670162295</v>
      </c>
      <c r="N312" s="64">
        <f t="shared" si="126"/>
        <v>281582.02799414663</v>
      </c>
      <c r="O312" s="64">
        <f t="shared" si="126"/>
        <v>324345.67098756798</v>
      </c>
      <c r="P312" s="64">
        <f t="shared" si="126"/>
        <v>359270.33274864813</v>
      </c>
      <c r="Q312" s="64">
        <f t="shared" si="126"/>
        <v>375434.52361369407</v>
      </c>
      <c r="R312" s="59"/>
    </row>
    <row r="313" spans="2:18" s="63" customFormat="1" ht="14.45" hidden="1" customHeight="1" outlineLevel="1" x14ac:dyDescent="0.25">
      <c r="B313" s="63" t="str">
        <f>BalSheet!B32</f>
        <v>Biz2</v>
      </c>
      <c r="C313" s="154"/>
      <c r="D313" s="64">
        <f t="shared" ref="D313:Q313" si="127">SUM(D283,D288,D293,D298,D303,D308)</f>
        <v>53270.674506842901</v>
      </c>
      <c r="E313" s="64">
        <f t="shared" si="127"/>
        <v>32263.34448793796</v>
      </c>
      <c r="F313" s="64">
        <f t="shared" si="127"/>
        <v>31327.019125877036</v>
      </c>
      <c r="G313" s="64">
        <f t="shared" si="127"/>
        <v>26301.566257945175</v>
      </c>
      <c r="H313" s="64">
        <f t="shared" si="127"/>
        <v>35211.737624684873</v>
      </c>
      <c r="I313" s="64">
        <f t="shared" si="127"/>
        <v>35689.653276550467</v>
      </c>
      <c r="J313" s="64">
        <f t="shared" si="127"/>
        <v>36167.568928416069</v>
      </c>
      <c r="K313" s="64">
        <f t="shared" si="127"/>
        <v>36645.484580281671</v>
      </c>
      <c r="L313" s="64">
        <f t="shared" si="127"/>
        <v>37123.400232147265</v>
      </c>
      <c r="M313" s="64">
        <f t="shared" si="127"/>
        <v>40871.113654501896</v>
      </c>
      <c r="N313" s="64">
        <f t="shared" si="127"/>
        <v>43543.381365486879</v>
      </c>
      <c r="O313" s="64">
        <f t="shared" si="127"/>
        <v>46141.339037608312</v>
      </c>
      <c r="P313" s="64">
        <f t="shared" si="127"/>
        <v>48294.147840692851</v>
      </c>
      <c r="Q313" s="64">
        <f t="shared" si="127"/>
        <v>49783.255501968575</v>
      </c>
      <c r="R313" s="59"/>
    </row>
    <row r="314" spans="2:18" s="63" customFormat="1" ht="14.45" hidden="1" customHeight="1" outlineLevel="1" x14ac:dyDescent="0.25">
      <c r="B314" s="63" t="str">
        <f>BalSheet!B33</f>
        <v>CORP</v>
      </c>
      <c r="C314" s="154"/>
      <c r="D314" s="64">
        <f t="shared" ref="D314:Q314" si="128">SUM(D284,D289,D294,D299,D304,D309)</f>
        <v>431142.69</v>
      </c>
      <c r="E314" s="64">
        <f t="shared" si="128"/>
        <v>399536.80900000001</v>
      </c>
      <c r="F314" s="64">
        <f t="shared" si="128"/>
        <v>359443.152</v>
      </c>
      <c r="G314" s="64">
        <f t="shared" si="128"/>
        <v>338838.54567883746</v>
      </c>
      <c r="H314" s="64">
        <f t="shared" si="128"/>
        <v>248402.97732518252</v>
      </c>
      <c r="I314" s="64">
        <f t="shared" si="128"/>
        <v>241622.59206140306</v>
      </c>
      <c r="J314" s="64">
        <f t="shared" si="128"/>
        <v>234842.2067976236</v>
      </c>
      <c r="K314" s="64">
        <f t="shared" si="128"/>
        <v>228061.82153384414</v>
      </c>
      <c r="L314" s="64">
        <f t="shared" si="128"/>
        <v>221281.43627006467</v>
      </c>
      <c r="M314" s="64">
        <f t="shared" si="128"/>
        <v>129233.09896079323</v>
      </c>
      <c r="N314" s="64">
        <f t="shared" si="128"/>
        <v>103186.44887013243</v>
      </c>
      <c r="O314" s="64">
        <f t="shared" si="128"/>
        <v>75468.46877431497</v>
      </c>
      <c r="P314" s="64">
        <f t="shared" si="128"/>
        <v>38720.592299357384</v>
      </c>
      <c r="Q314" s="64">
        <f t="shared" si="128"/>
        <v>1972.895</v>
      </c>
      <c r="R314" s="59"/>
    </row>
    <row r="315" spans="2:18" s="63" customFormat="1" ht="14.45" hidden="1" customHeight="1" outlineLevel="1" x14ac:dyDescent="0.25">
      <c r="C315" s="152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  <c r="O315" s="64"/>
      <c r="P315" s="64"/>
      <c r="Q315" s="64"/>
      <c r="R315" s="59"/>
    </row>
    <row r="316" spans="2:18" s="63" customFormat="1" ht="14.45" hidden="1" customHeight="1" outlineLevel="1" collapsed="1" x14ac:dyDescent="0.25">
      <c r="B316" s="63" t="str">
        <f>BalSheet!B35</f>
        <v>Equipment on operating leases</v>
      </c>
      <c r="C316" s="153"/>
      <c r="D316" s="160">
        <f>BalSheet!D35</f>
        <v>0</v>
      </c>
      <c r="E316" s="159">
        <f>BalSheet!E35</f>
        <v>0</v>
      </c>
      <c r="F316" s="159">
        <f>BalSheet!F35</f>
        <v>0</v>
      </c>
      <c r="G316" s="159">
        <f>BalSheet!G35</f>
        <v>0</v>
      </c>
      <c r="H316" s="159">
        <f>BalSheet!H35</f>
        <v>0</v>
      </c>
      <c r="I316" s="159">
        <f>BalSheet!I35</f>
        <v>0</v>
      </c>
      <c r="J316" s="159">
        <f>BalSheet!J35</f>
        <v>0</v>
      </c>
      <c r="K316" s="159">
        <f>BalSheet!K35</f>
        <v>0</v>
      </c>
      <c r="L316" s="159">
        <f>BalSheet!L35</f>
        <v>0</v>
      </c>
      <c r="M316" s="159">
        <f>BalSheet!M35</f>
        <v>0</v>
      </c>
      <c r="N316" s="159">
        <f>BalSheet!N35</f>
        <v>0</v>
      </c>
      <c r="O316" s="159">
        <f>BalSheet!O35</f>
        <v>0</v>
      </c>
      <c r="P316" s="159">
        <f>BalSheet!P35</f>
        <v>0</v>
      </c>
      <c r="Q316" s="159">
        <f>BalSheet!Q35</f>
        <v>0</v>
      </c>
      <c r="R316" s="59"/>
    </row>
    <row r="317" spans="2:18" s="63" customFormat="1" ht="14.45" hidden="1" customHeight="1" outlineLevel="1" x14ac:dyDescent="0.25">
      <c r="B317" s="63" t="str">
        <f>BalSheet!B36</f>
        <v>Biz1</v>
      </c>
      <c r="C317" s="154"/>
      <c r="D317" s="64">
        <f>BalSheet!D36</f>
        <v>0</v>
      </c>
      <c r="E317" s="64">
        <f>BalSheet!E36</f>
        <v>0</v>
      </c>
      <c r="F317" s="64">
        <f>BalSheet!F36</f>
        <v>0</v>
      </c>
      <c r="G317" s="64">
        <f>BalSheet!G36</f>
        <v>0</v>
      </c>
      <c r="H317" s="64">
        <f>BalSheet!H36</f>
        <v>0</v>
      </c>
      <c r="I317" s="64">
        <f>BalSheet!I36</f>
        <v>0</v>
      </c>
      <c r="J317" s="64">
        <f>BalSheet!J36</f>
        <v>0</v>
      </c>
      <c r="K317" s="64">
        <f>BalSheet!K36</f>
        <v>0</v>
      </c>
      <c r="L317" s="64">
        <f>BalSheet!L36</f>
        <v>0</v>
      </c>
      <c r="M317" s="64">
        <f>BalSheet!M36</f>
        <v>0</v>
      </c>
      <c r="N317" s="64">
        <f>BalSheet!N36</f>
        <v>0</v>
      </c>
      <c r="O317" s="64">
        <f>BalSheet!O36</f>
        <v>0</v>
      </c>
      <c r="P317" s="64">
        <f>BalSheet!P36</f>
        <v>0</v>
      </c>
      <c r="Q317" s="64">
        <f>BalSheet!Q36</f>
        <v>0</v>
      </c>
      <c r="R317" s="59"/>
    </row>
    <row r="318" spans="2:18" s="63" customFormat="1" ht="14.45" hidden="1" customHeight="1" outlineLevel="1" x14ac:dyDescent="0.25">
      <c r="B318" s="63" t="str">
        <f>BalSheet!B37</f>
        <v>Biz2</v>
      </c>
      <c r="C318" s="154"/>
      <c r="D318" s="64">
        <f>BalSheet!D37</f>
        <v>0</v>
      </c>
      <c r="E318" s="64">
        <f>BalSheet!E37</f>
        <v>0</v>
      </c>
      <c r="F318" s="64">
        <f>BalSheet!F37</f>
        <v>0</v>
      </c>
      <c r="G318" s="64">
        <f>BalSheet!G37</f>
        <v>0</v>
      </c>
      <c r="H318" s="64">
        <f>BalSheet!H37</f>
        <v>0</v>
      </c>
      <c r="I318" s="64">
        <f>BalSheet!I37</f>
        <v>0</v>
      </c>
      <c r="J318" s="64">
        <f>BalSheet!J37</f>
        <v>0</v>
      </c>
      <c r="K318" s="64">
        <f>BalSheet!K37</f>
        <v>0</v>
      </c>
      <c r="L318" s="64">
        <f>BalSheet!L37</f>
        <v>0</v>
      </c>
      <c r="M318" s="64">
        <f>BalSheet!M37</f>
        <v>0</v>
      </c>
      <c r="N318" s="64">
        <f>BalSheet!N37</f>
        <v>0</v>
      </c>
      <c r="O318" s="64">
        <f>BalSheet!O37</f>
        <v>0</v>
      </c>
      <c r="P318" s="64">
        <f>BalSheet!P37</f>
        <v>0</v>
      </c>
      <c r="Q318" s="64">
        <f>BalSheet!Q37</f>
        <v>0</v>
      </c>
      <c r="R318" s="59"/>
    </row>
    <row r="319" spans="2:18" s="63" customFormat="1" ht="14.45" hidden="1" customHeight="1" outlineLevel="1" x14ac:dyDescent="0.25">
      <c r="B319" s="63" t="str">
        <f>BalSheet!B38</f>
        <v>CORP</v>
      </c>
      <c r="C319" s="154"/>
      <c r="D319" s="64">
        <f>BalSheet!D38</f>
        <v>0</v>
      </c>
      <c r="E319" s="64">
        <f>BalSheet!E38</f>
        <v>0</v>
      </c>
      <c r="F319" s="64">
        <f>BalSheet!F38</f>
        <v>0</v>
      </c>
      <c r="G319" s="64">
        <f>BalSheet!G38</f>
        <v>0</v>
      </c>
      <c r="H319" s="64">
        <f>BalSheet!H38</f>
        <v>0</v>
      </c>
      <c r="I319" s="64">
        <f>BalSheet!I38</f>
        <v>0</v>
      </c>
      <c r="J319" s="64">
        <f>BalSheet!J38</f>
        <v>0</v>
      </c>
      <c r="K319" s="64">
        <f>BalSheet!K38</f>
        <v>0</v>
      </c>
      <c r="L319" s="64">
        <f>BalSheet!L38</f>
        <v>0</v>
      </c>
      <c r="M319" s="64">
        <f>BalSheet!M38</f>
        <v>0</v>
      </c>
      <c r="N319" s="64">
        <f>BalSheet!N38</f>
        <v>0</v>
      </c>
      <c r="O319" s="64">
        <f>BalSheet!O38</f>
        <v>0</v>
      </c>
      <c r="P319" s="64">
        <f>BalSheet!P38</f>
        <v>0</v>
      </c>
      <c r="Q319" s="64">
        <f>BalSheet!Q38</f>
        <v>0</v>
      </c>
      <c r="R319" s="59"/>
    </row>
    <row r="320" spans="2:18" s="63" customFormat="1" ht="14.45" hidden="1" customHeight="1" outlineLevel="1" x14ac:dyDescent="0.25">
      <c r="C320" s="152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  <c r="O320" s="64"/>
      <c r="P320" s="64"/>
      <c r="Q320" s="64"/>
      <c r="R320" s="59"/>
    </row>
    <row r="321" spans="2:18" s="63" customFormat="1" ht="14.45" hidden="1" customHeight="1" outlineLevel="1" collapsed="1" x14ac:dyDescent="0.25">
      <c r="B321" s="157" t="str">
        <f>BalSheet!B40</f>
        <v>Plant &amp; equipment</v>
      </c>
      <c r="C321" s="153"/>
      <c r="D321" s="160">
        <f>BalSheet!D40</f>
        <v>136506</v>
      </c>
      <c r="E321" s="159">
        <f>BalSheet!E40</f>
        <v>127974</v>
      </c>
      <c r="F321" s="159">
        <f>BalSheet!F40</f>
        <v>132614</v>
      </c>
      <c r="G321" s="159">
        <f>BalSheet!G40</f>
        <v>163521.23184325313</v>
      </c>
      <c r="H321" s="159">
        <f>BalSheet!H40</f>
        <v>177329.42348508851</v>
      </c>
      <c r="I321" s="159">
        <f>BalSheet!I40</f>
        <v>177329.42348508851</v>
      </c>
      <c r="J321" s="159">
        <f>BalSheet!J40</f>
        <v>177329.42348508851</v>
      </c>
      <c r="K321" s="159">
        <f>BalSheet!K40</f>
        <v>177329.42348508851</v>
      </c>
      <c r="L321" s="159">
        <f>BalSheet!L40</f>
        <v>177329.42348508851</v>
      </c>
      <c r="M321" s="159">
        <f>BalSheet!M40</f>
        <v>181172.25216997066</v>
      </c>
      <c r="N321" s="159">
        <f>BalSheet!N40</f>
        <v>185280.10821160342</v>
      </c>
      <c r="O321" s="159">
        <f>BalSheet!O40</f>
        <v>189256.5219349995</v>
      </c>
      <c r="P321" s="159">
        <f>BalSheet!P40</f>
        <v>189256.5219349995</v>
      </c>
      <c r="Q321" s="159">
        <f>BalSheet!Q40</f>
        <v>189256.5219349995</v>
      </c>
      <c r="R321" s="59"/>
    </row>
    <row r="322" spans="2:18" s="63" customFormat="1" ht="14.45" hidden="1" customHeight="1" outlineLevel="1" x14ac:dyDescent="0.25">
      <c r="B322" s="63" t="str">
        <f>BalSheet!B41</f>
        <v>Biz1</v>
      </c>
      <c r="C322" s="154"/>
      <c r="D322" s="64">
        <f>BalSheet!D41</f>
        <v>136506</v>
      </c>
      <c r="E322" s="64">
        <f>BalSheet!E41</f>
        <v>127974</v>
      </c>
      <c r="F322" s="64">
        <f>BalSheet!F41</f>
        <v>132614</v>
      </c>
      <c r="G322" s="64">
        <f>BalSheet!G41</f>
        <v>163521.23184325313</v>
      </c>
      <c r="H322" s="64">
        <f>BalSheet!H41</f>
        <v>177329.42348508851</v>
      </c>
      <c r="I322" s="64">
        <f>BalSheet!I41</f>
        <v>177329.42348508851</v>
      </c>
      <c r="J322" s="64">
        <f>BalSheet!J41</f>
        <v>177329.42348508851</v>
      </c>
      <c r="K322" s="64">
        <f>BalSheet!K41</f>
        <v>177329.42348508851</v>
      </c>
      <c r="L322" s="64">
        <f>BalSheet!L41</f>
        <v>177329.42348508851</v>
      </c>
      <c r="M322" s="64">
        <f>BalSheet!M41</f>
        <v>181172.25216997066</v>
      </c>
      <c r="N322" s="64">
        <f>BalSheet!N41</f>
        <v>185280.10821160342</v>
      </c>
      <c r="O322" s="64">
        <f>BalSheet!O41</f>
        <v>189256.5219349995</v>
      </c>
      <c r="P322" s="64">
        <f>BalSheet!P41</f>
        <v>189256.5219349995</v>
      </c>
      <c r="Q322" s="64">
        <f>BalSheet!Q41</f>
        <v>189256.5219349995</v>
      </c>
      <c r="R322" s="59"/>
    </row>
    <row r="323" spans="2:18" s="63" customFormat="1" ht="14.45" hidden="1" customHeight="1" outlineLevel="1" x14ac:dyDescent="0.25">
      <c r="B323" s="63" t="str">
        <f>BalSheet!B42</f>
        <v>Biz2</v>
      </c>
      <c r="C323" s="154"/>
      <c r="D323" s="64">
        <f>BalSheet!D42</f>
        <v>0</v>
      </c>
      <c r="E323" s="64">
        <f>BalSheet!E42</f>
        <v>0</v>
      </c>
      <c r="F323" s="64">
        <f>BalSheet!F42</f>
        <v>0</v>
      </c>
      <c r="G323" s="64">
        <f>BalSheet!G42</f>
        <v>0</v>
      </c>
      <c r="H323" s="64">
        <f>BalSheet!H42</f>
        <v>0</v>
      </c>
      <c r="I323" s="64">
        <f>BalSheet!I42</f>
        <v>0</v>
      </c>
      <c r="J323" s="64">
        <f>BalSheet!J42</f>
        <v>0</v>
      </c>
      <c r="K323" s="64">
        <f>BalSheet!K42</f>
        <v>0</v>
      </c>
      <c r="L323" s="64">
        <f>BalSheet!L42</f>
        <v>0</v>
      </c>
      <c r="M323" s="64">
        <f>BalSheet!M42</f>
        <v>0</v>
      </c>
      <c r="N323" s="64">
        <f>BalSheet!N42</f>
        <v>0</v>
      </c>
      <c r="O323" s="64">
        <f>BalSheet!O42</f>
        <v>0</v>
      </c>
      <c r="P323" s="64">
        <f>BalSheet!P42</f>
        <v>0</v>
      </c>
      <c r="Q323" s="64">
        <f>BalSheet!Q42</f>
        <v>0</v>
      </c>
      <c r="R323" s="59"/>
    </row>
    <row r="324" spans="2:18" s="63" customFormat="1" ht="14.45" hidden="1" customHeight="1" outlineLevel="1" x14ac:dyDescent="0.25">
      <c r="B324" s="63" t="str">
        <f>BalSheet!B43</f>
        <v>CORP</v>
      </c>
      <c r="C324" s="154"/>
      <c r="D324" s="64">
        <f>BalSheet!D43</f>
        <v>0</v>
      </c>
      <c r="E324" s="64">
        <f>BalSheet!E43</f>
        <v>0</v>
      </c>
      <c r="F324" s="64">
        <f>BalSheet!F43</f>
        <v>0</v>
      </c>
      <c r="G324" s="64">
        <f>BalSheet!G43</f>
        <v>0</v>
      </c>
      <c r="H324" s="64">
        <f>BalSheet!H43</f>
        <v>0</v>
      </c>
      <c r="I324" s="64">
        <f>BalSheet!I43</f>
        <v>0</v>
      </c>
      <c r="J324" s="64">
        <f>BalSheet!J43</f>
        <v>0</v>
      </c>
      <c r="K324" s="64">
        <f>BalSheet!K43</f>
        <v>0</v>
      </c>
      <c r="L324" s="64">
        <f>BalSheet!L43</f>
        <v>0</v>
      </c>
      <c r="M324" s="64">
        <f>BalSheet!M43</f>
        <v>0</v>
      </c>
      <c r="N324" s="64">
        <f>BalSheet!N43</f>
        <v>0</v>
      </c>
      <c r="O324" s="64">
        <f>BalSheet!O43</f>
        <v>0</v>
      </c>
      <c r="P324" s="64">
        <f>BalSheet!P43</f>
        <v>0</v>
      </c>
      <c r="Q324" s="64">
        <f>BalSheet!Q43</f>
        <v>0</v>
      </c>
      <c r="R324" s="59"/>
    </row>
    <row r="325" spans="2:18" s="63" customFormat="1" ht="14.45" hidden="1" customHeight="1" outlineLevel="1" x14ac:dyDescent="0.25">
      <c r="C325" s="152"/>
      <c r="D325" s="64"/>
      <c r="E325" s="64"/>
      <c r="F325" s="64"/>
      <c r="G325" s="64"/>
      <c r="H325" s="64"/>
      <c r="I325" s="64"/>
      <c r="J325" s="64"/>
      <c r="K325" s="64"/>
      <c r="L325" s="64"/>
      <c r="M325" s="64"/>
      <c r="N325" s="64"/>
      <c r="O325" s="64"/>
      <c r="P325" s="64"/>
      <c r="Q325" s="64"/>
      <c r="R325" s="59"/>
    </row>
    <row r="326" spans="2:18" s="63" customFormat="1" ht="14.45" hidden="1" customHeight="1" outlineLevel="1" x14ac:dyDescent="0.25">
      <c r="B326" s="158" t="str">
        <f>BalSheet!B45</f>
        <v>Accumulated depreciation</v>
      </c>
      <c r="C326" s="153"/>
      <c r="D326" s="160">
        <f>BalSheet!D45</f>
        <v>0</v>
      </c>
      <c r="E326" s="159">
        <f>BalSheet!E45</f>
        <v>0</v>
      </c>
      <c r="F326" s="159">
        <f>BalSheet!F45</f>
        <v>0</v>
      </c>
      <c r="G326" s="159">
        <f>BalSheet!G45</f>
        <v>0</v>
      </c>
      <c r="H326" s="159">
        <f>BalSheet!H45</f>
        <v>0</v>
      </c>
      <c r="I326" s="159">
        <f>BalSheet!I45</f>
        <v>0</v>
      </c>
      <c r="J326" s="159">
        <f>BalSheet!J45</f>
        <v>0</v>
      </c>
      <c r="K326" s="159">
        <f>BalSheet!K45</f>
        <v>0</v>
      </c>
      <c r="L326" s="159">
        <f>BalSheet!L45</f>
        <v>0</v>
      </c>
      <c r="M326" s="159">
        <f>BalSheet!M45</f>
        <v>0</v>
      </c>
      <c r="N326" s="159">
        <f>BalSheet!N45</f>
        <v>0</v>
      </c>
      <c r="O326" s="159">
        <f>BalSheet!O45</f>
        <v>0</v>
      </c>
      <c r="P326" s="159">
        <f>BalSheet!P45</f>
        <v>0</v>
      </c>
      <c r="Q326" s="159">
        <f>BalSheet!Q45</f>
        <v>0</v>
      </c>
      <c r="R326" s="59"/>
    </row>
    <row r="327" spans="2:18" s="63" customFormat="1" ht="14.45" hidden="1" customHeight="1" outlineLevel="1" x14ac:dyDescent="0.25">
      <c r="B327" s="63" t="str">
        <f>BalSheet!B46</f>
        <v>Biz1</v>
      </c>
      <c r="C327" s="154"/>
      <c r="D327" s="64">
        <f>BalSheet!D46</f>
        <v>0</v>
      </c>
      <c r="E327" s="64">
        <f>BalSheet!E46</f>
        <v>0</v>
      </c>
      <c r="F327" s="64">
        <f>BalSheet!F46</f>
        <v>0</v>
      </c>
      <c r="G327" s="64">
        <f>BalSheet!G46</f>
        <v>0</v>
      </c>
      <c r="H327" s="64">
        <f>BalSheet!H46</f>
        <v>0</v>
      </c>
      <c r="I327" s="64">
        <f>BalSheet!I46</f>
        <v>0</v>
      </c>
      <c r="J327" s="64">
        <f>BalSheet!J46</f>
        <v>0</v>
      </c>
      <c r="K327" s="64">
        <f>BalSheet!K46</f>
        <v>0</v>
      </c>
      <c r="L327" s="64">
        <f>BalSheet!L46</f>
        <v>0</v>
      </c>
      <c r="M327" s="64">
        <f>BalSheet!M46</f>
        <v>0</v>
      </c>
      <c r="N327" s="64">
        <f>BalSheet!N46</f>
        <v>0</v>
      </c>
      <c r="O327" s="64">
        <f>BalSheet!O46</f>
        <v>0</v>
      </c>
      <c r="P327" s="64">
        <f>BalSheet!P46</f>
        <v>0</v>
      </c>
      <c r="Q327" s="64">
        <f>BalSheet!Q46</f>
        <v>0</v>
      </c>
      <c r="R327" s="59"/>
    </row>
    <row r="328" spans="2:18" s="63" customFormat="1" ht="14.45" hidden="1" customHeight="1" outlineLevel="1" x14ac:dyDescent="0.25">
      <c r="B328" s="63" t="str">
        <f>BalSheet!B47</f>
        <v>Biz2</v>
      </c>
      <c r="C328" s="154"/>
      <c r="D328" s="64">
        <f>BalSheet!D47</f>
        <v>0</v>
      </c>
      <c r="E328" s="64">
        <f>BalSheet!E47</f>
        <v>0</v>
      </c>
      <c r="F328" s="64">
        <f>BalSheet!F47</f>
        <v>0</v>
      </c>
      <c r="G328" s="64">
        <f>BalSheet!G47</f>
        <v>0</v>
      </c>
      <c r="H328" s="64">
        <f>BalSheet!H47</f>
        <v>0</v>
      </c>
      <c r="I328" s="64">
        <f>BalSheet!I47</f>
        <v>0</v>
      </c>
      <c r="J328" s="64">
        <f>BalSheet!J47</f>
        <v>0</v>
      </c>
      <c r="K328" s="64">
        <f>BalSheet!K47</f>
        <v>0</v>
      </c>
      <c r="L328" s="64">
        <f>BalSheet!L47</f>
        <v>0</v>
      </c>
      <c r="M328" s="64">
        <f>BalSheet!M47</f>
        <v>0</v>
      </c>
      <c r="N328" s="64">
        <f>BalSheet!N47</f>
        <v>0</v>
      </c>
      <c r="O328" s="64">
        <f>BalSheet!O47</f>
        <v>0</v>
      </c>
      <c r="P328" s="64">
        <f>BalSheet!P47</f>
        <v>0</v>
      </c>
      <c r="Q328" s="64">
        <f>BalSheet!Q47</f>
        <v>0</v>
      </c>
      <c r="R328" s="59"/>
    </row>
    <row r="329" spans="2:18" s="63" customFormat="1" ht="14.45" hidden="1" customHeight="1" outlineLevel="1" x14ac:dyDescent="0.25">
      <c r="B329" s="63" t="str">
        <f>BalSheet!B48</f>
        <v>CORP</v>
      </c>
      <c r="C329" s="154"/>
      <c r="D329" s="64">
        <f>BalSheet!D48</f>
        <v>0</v>
      </c>
      <c r="E329" s="64">
        <f>BalSheet!E48</f>
        <v>0</v>
      </c>
      <c r="F329" s="64">
        <f>BalSheet!F48</f>
        <v>0</v>
      </c>
      <c r="G329" s="64">
        <f>BalSheet!G48</f>
        <v>0</v>
      </c>
      <c r="H329" s="64">
        <f>BalSheet!H48</f>
        <v>0</v>
      </c>
      <c r="I329" s="64">
        <f>BalSheet!I48</f>
        <v>0</v>
      </c>
      <c r="J329" s="64">
        <f>BalSheet!J48</f>
        <v>0</v>
      </c>
      <c r="K329" s="64">
        <f>BalSheet!K48</f>
        <v>0</v>
      </c>
      <c r="L329" s="64">
        <f>BalSheet!L48</f>
        <v>0</v>
      </c>
      <c r="M329" s="64">
        <f>BalSheet!M48</f>
        <v>0</v>
      </c>
      <c r="N329" s="64">
        <f>BalSheet!N48</f>
        <v>0</v>
      </c>
      <c r="O329" s="64">
        <f>BalSheet!O48</f>
        <v>0</v>
      </c>
      <c r="P329" s="64">
        <f>BalSheet!P48</f>
        <v>0</v>
      </c>
      <c r="Q329" s="64">
        <f>BalSheet!Q48</f>
        <v>0</v>
      </c>
      <c r="R329" s="59"/>
    </row>
    <row r="330" spans="2:18" s="63" customFormat="1" ht="14.45" hidden="1" customHeight="1" outlineLevel="1" x14ac:dyDescent="0.25">
      <c r="C330" s="152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  <c r="O330" s="64"/>
      <c r="P330" s="64"/>
      <c r="Q330" s="64"/>
      <c r="R330" s="59"/>
    </row>
    <row r="331" spans="2:18" s="63" customFormat="1" ht="14.45" hidden="1" customHeight="1" outlineLevel="1" x14ac:dyDescent="0.25">
      <c r="B331" s="63" t="str">
        <f>BalSheet!B50</f>
        <v>Net P&amp;E</v>
      </c>
      <c r="C331" s="153"/>
      <c r="D331" s="159">
        <f>BalSheet!D50</f>
        <v>136506</v>
      </c>
      <c r="E331" s="159">
        <f>BalSheet!E50</f>
        <v>127974</v>
      </c>
      <c r="F331" s="159">
        <f>BalSheet!F50</f>
        <v>132614</v>
      </c>
      <c r="G331" s="159">
        <f>BalSheet!G50</f>
        <v>163521.23184325313</v>
      </c>
      <c r="H331" s="159">
        <f>BalSheet!H50</f>
        <v>177329.42348508851</v>
      </c>
      <c r="I331" s="159">
        <f>BalSheet!I50</f>
        <v>177329.42348508851</v>
      </c>
      <c r="J331" s="159">
        <f>BalSheet!J50</f>
        <v>177329.42348508851</v>
      </c>
      <c r="K331" s="159">
        <f>BalSheet!K50</f>
        <v>177329.42348508851</v>
      </c>
      <c r="L331" s="159">
        <f>BalSheet!L50</f>
        <v>177329.42348508851</v>
      </c>
      <c r="M331" s="159">
        <f>BalSheet!M50</f>
        <v>181172.25216997066</v>
      </c>
      <c r="N331" s="159">
        <f>BalSheet!N50</f>
        <v>185280.10821160342</v>
      </c>
      <c r="O331" s="159">
        <f>BalSheet!O50</f>
        <v>189256.5219349995</v>
      </c>
      <c r="P331" s="159">
        <f>BalSheet!P50</f>
        <v>189256.5219349995</v>
      </c>
      <c r="Q331" s="159">
        <f>BalSheet!Q50</f>
        <v>189256.5219349995</v>
      </c>
      <c r="R331" s="59"/>
    </row>
    <row r="332" spans="2:18" s="63" customFormat="1" ht="14.45" hidden="1" customHeight="1" outlineLevel="1" x14ac:dyDescent="0.25">
      <c r="B332" s="63" t="str">
        <f>BalSheet!B51</f>
        <v>Biz1</v>
      </c>
      <c r="C332" s="154"/>
      <c r="D332" s="64">
        <f>BalSheet!D51</f>
        <v>136506</v>
      </c>
      <c r="E332" s="64">
        <f>BalSheet!E51</f>
        <v>127974</v>
      </c>
      <c r="F332" s="64">
        <f>BalSheet!F51</f>
        <v>132614</v>
      </c>
      <c r="G332" s="64">
        <f>BalSheet!G51</f>
        <v>163521.23184325313</v>
      </c>
      <c r="H332" s="64">
        <f>BalSheet!H51</f>
        <v>177329.42348508851</v>
      </c>
      <c r="I332" s="64">
        <f>BalSheet!I51</f>
        <v>177329.42348508851</v>
      </c>
      <c r="J332" s="64">
        <f>BalSheet!J51</f>
        <v>177329.42348508851</v>
      </c>
      <c r="K332" s="64">
        <f>BalSheet!K51</f>
        <v>177329.42348508851</v>
      </c>
      <c r="L332" s="64">
        <f>BalSheet!L51</f>
        <v>177329.42348508851</v>
      </c>
      <c r="M332" s="64">
        <f>BalSheet!M51</f>
        <v>181172.25216997066</v>
      </c>
      <c r="N332" s="64">
        <f>BalSheet!N51</f>
        <v>185280.10821160342</v>
      </c>
      <c r="O332" s="64">
        <f>BalSheet!O51</f>
        <v>189256.5219349995</v>
      </c>
      <c r="P332" s="64">
        <f>BalSheet!P51</f>
        <v>189256.5219349995</v>
      </c>
      <c r="Q332" s="64">
        <f>BalSheet!Q51</f>
        <v>189256.5219349995</v>
      </c>
      <c r="R332" s="59"/>
    </row>
    <row r="333" spans="2:18" s="63" customFormat="1" ht="14.45" hidden="1" customHeight="1" outlineLevel="1" x14ac:dyDescent="0.25">
      <c r="B333" s="63" t="str">
        <f>BalSheet!B52</f>
        <v>Biz2</v>
      </c>
      <c r="C333" s="154"/>
      <c r="D333" s="64">
        <f>BalSheet!D52</f>
        <v>0</v>
      </c>
      <c r="E333" s="64">
        <f>BalSheet!E52</f>
        <v>0</v>
      </c>
      <c r="F333" s="64">
        <f>BalSheet!F52</f>
        <v>0</v>
      </c>
      <c r="G333" s="64">
        <f>BalSheet!G52</f>
        <v>0</v>
      </c>
      <c r="H333" s="64">
        <f>BalSheet!H52</f>
        <v>0</v>
      </c>
      <c r="I333" s="64">
        <f>BalSheet!I52</f>
        <v>0</v>
      </c>
      <c r="J333" s="64">
        <f>BalSheet!J52</f>
        <v>0</v>
      </c>
      <c r="K333" s="64">
        <f>BalSheet!K52</f>
        <v>0</v>
      </c>
      <c r="L333" s="64">
        <f>BalSheet!L52</f>
        <v>0</v>
      </c>
      <c r="M333" s="64">
        <f>BalSheet!M52</f>
        <v>0</v>
      </c>
      <c r="N333" s="64">
        <f>BalSheet!N52</f>
        <v>0</v>
      </c>
      <c r="O333" s="64">
        <f>BalSheet!O52</f>
        <v>0</v>
      </c>
      <c r="P333" s="64">
        <f>BalSheet!P52</f>
        <v>0</v>
      </c>
      <c r="Q333" s="64">
        <f>BalSheet!Q52</f>
        <v>0</v>
      </c>
      <c r="R333" s="59"/>
    </row>
    <row r="334" spans="2:18" s="63" customFormat="1" ht="14.45" hidden="1" customHeight="1" outlineLevel="1" x14ac:dyDescent="0.25">
      <c r="B334" s="63" t="str">
        <f>BalSheet!B53</f>
        <v>CORP</v>
      </c>
      <c r="C334" s="154"/>
      <c r="D334" s="64">
        <f>BalSheet!D53</f>
        <v>0</v>
      </c>
      <c r="E334" s="64">
        <f>BalSheet!E53</f>
        <v>0</v>
      </c>
      <c r="F334" s="64">
        <f>BalSheet!F53</f>
        <v>0</v>
      </c>
      <c r="G334" s="64">
        <f>BalSheet!G53</f>
        <v>0</v>
      </c>
      <c r="H334" s="64">
        <f>BalSheet!H53</f>
        <v>0</v>
      </c>
      <c r="I334" s="64">
        <f>BalSheet!I53</f>
        <v>0</v>
      </c>
      <c r="J334" s="64">
        <f>BalSheet!J53</f>
        <v>0</v>
      </c>
      <c r="K334" s="64">
        <f>BalSheet!K53</f>
        <v>0</v>
      </c>
      <c r="L334" s="64">
        <f>BalSheet!L53</f>
        <v>0</v>
      </c>
      <c r="M334" s="64">
        <f>BalSheet!M53</f>
        <v>0</v>
      </c>
      <c r="N334" s="64">
        <f>BalSheet!N53</f>
        <v>0</v>
      </c>
      <c r="O334" s="64">
        <f>BalSheet!O53</f>
        <v>0</v>
      </c>
      <c r="P334" s="64">
        <f>BalSheet!P53</f>
        <v>0</v>
      </c>
      <c r="Q334" s="64">
        <f>BalSheet!Q53</f>
        <v>0</v>
      </c>
      <c r="R334" s="59"/>
    </row>
    <row r="335" spans="2:18" s="63" customFormat="1" ht="14.45" hidden="1" customHeight="1" outlineLevel="1" x14ac:dyDescent="0.25">
      <c r="C335" s="152"/>
      <c r="H335" s="66"/>
      <c r="M335" s="66"/>
      <c r="N335" s="66"/>
      <c r="O335" s="66"/>
      <c r="P335" s="66"/>
      <c r="Q335" s="66"/>
      <c r="R335" s="59"/>
    </row>
    <row r="336" spans="2:18" s="63" customFormat="1" ht="14.45" hidden="1" customHeight="1" outlineLevel="1" x14ac:dyDescent="0.25">
      <c r="B336" s="63" t="str">
        <f>BalSheet!B55</f>
        <v>Goodwill</v>
      </c>
      <c r="C336" s="153"/>
      <c r="D336" s="160">
        <f>BalSheet!D55</f>
        <v>0</v>
      </c>
      <c r="E336" s="159">
        <f>BalSheet!E55</f>
        <v>0</v>
      </c>
      <c r="F336" s="159">
        <f>BalSheet!F55</f>
        <v>0</v>
      </c>
      <c r="G336" s="159">
        <f>BalSheet!G55</f>
        <v>0</v>
      </c>
      <c r="H336" s="159">
        <f>BalSheet!H55</f>
        <v>0</v>
      </c>
      <c r="I336" s="159">
        <f>BalSheet!I55</f>
        <v>0</v>
      </c>
      <c r="J336" s="159">
        <f>BalSheet!J55</f>
        <v>0</v>
      </c>
      <c r="K336" s="159">
        <f>BalSheet!K55</f>
        <v>0</v>
      </c>
      <c r="L336" s="159">
        <f>BalSheet!L55</f>
        <v>0</v>
      </c>
      <c r="M336" s="159">
        <f>BalSheet!M55</f>
        <v>0</v>
      </c>
      <c r="N336" s="159">
        <f>BalSheet!N55</f>
        <v>0</v>
      </c>
      <c r="O336" s="159">
        <f>BalSheet!O55</f>
        <v>0</v>
      </c>
      <c r="P336" s="159">
        <f>BalSheet!P55</f>
        <v>0</v>
      </c>
      <c r="Q336" s="159">
        <f>BalSheet!Q55</f>
        <v>0</v>
      </c>
      <c r="R336" s="59"/>
    </row>
    <row r="337" spans="1:18" s="63" customFormat="1" ht="14.45" hidden="1" customHeight="1" outlineLevel="1" x14ac:dyDescent="0.25">
      <c r="B337" s="63" t="str">
        <f>BalSheet!B56</f>
        <v>Biz1</v>
      </c>
      <c r="C337" s="154"/>
      <c r="D337" s="64">
        <f>BalSheet!D56</f>
        <v>0</v>
      </c>
      <c r="E337" s="64">
        <f>BalSheet!E56</f>
        <v>0</v>
      </c>
      <c r="F337" s="64">
        <f>BalSheet!F56</f>
        <v>0</v>
      </c>
      <c r="G337" s="64">
        <f>BalSheet!G56</f>
        <v>0</v>
      </c>
      <c r="H337" s="64">
        <f>BalSheet!H56</f>
        <v>0</v>
      </c>
      <c r="I337" s="64">
        <f>BalSheet!I56</f>
        <v>0</v>
      </c>
      <c r="J337" s="64">
        <f>BalSheet!J56</f>
        <v>0</v>
      </c>
      <c r="K337" s="64">
        <f>BalSheet!K56</f>
        <v>0</v>
      </c>
      <c r="L337" s="64">
        <f>BalSheet!L56</f>
        <v>0</v>
      </c>
      <c r="M337" s="64">
        <f>BalSheet!M56</f>
        <v>0</v>
      </c>
      <c r="N337" s="64">
        <f>BalSheet!N56</f>
        <v>0</v>
      </c>
      <c r="O337" s="64">
        <f>BalSheet!O56</f>
        <v>0</v>
      </c>
      <c r="P337" s="64">
        <f>BalSheet!P56</f>
        <v>0</v>
      </c>
      <c r="Q337" s="64">
        <f>BalSheet!Q56</f>
        <v>0</v>
      </c>
      <c r="R337" s="59"/>
    </row>
    <row r="338" spans="1:18" s="63" customFormat="1" ht="14.45" hidden="1" customHeight="1" outlineLevel="1" x14ac:dyDescent="0.25">
      <c r="B338" s="63" t="str">
        <f>BalSheet!B57</f>
        <v>Biz2</v>
      </c>
      <c r="C338" s="154"/>
      <c r="D338" s="64">
        <f>BalSheet!D57</f>
        <v>0</v>
      </c>
      <c r="E338" s="64">
        <f>BalSheet!E57</f>
        <v>0</v>
      </c>
      <c r="F338" s="64">
        <f>BalSheet!F57</f>
        <v>0</v>
      </c>
      <c r="G338" s="64">
        <f>BalSheet!G57</f>
        <v>0</v>
      </c>
      <c r="H338" s="64">
        <f>BalSheet!H57</f>
        <v>0</v>
      </c>
      <c r="I338" s="64">
        <f>BalSheet!I57</f>
        <v>0</v>
      </c>
      <c r="J338" s="64">
        <f>BalSheet!J57</f>
        <v>0</v>
      </c>
      <c r="K338" s="64">
        <f>BalSheet!K57</f>
        <v>0</v>
      </c>
      <c r="L338" s="64">
        <f>BalSheet!L57</f>
        <v>0</v>
      </c>
      <c r="M338" s="64">
        <f>BalSheet!M57</f>
        <v>0</v>
      </c>
      <c r="N338" s="64">
        <f>BalSheet!N57</f>
        <v>0</v>
      </c>
      <c r="O338" s="64">
        <f>BalSheet!O57</f>
        <v>0</v>
      </c>
      <c r="P338" s="64">
        <f>BalSheet!P57</f>
        <v>0</v>
      </c>
      <c r="Q338" s="64">
        <f>BalSheet!Q57</f>
        <v>0</v>
      </c>
      <c r="R338" s="59"/>
    </row>
    <row r="339" spans="1:18" s="63" customFormat="1" ht="14.45" hidden="1" customHeight="1" outlineLevel="1" x14ac:dyDescent="0.25">
      <c r="B339" s="63" t="str">
        <f>BalSheet!B58</f>
        <v>CORP</v>
      </c>
      <c r="C339" s="154"/>
      <c r="D339" s="64">
        <f>BalSheet!D58</f>
        <v>0</v>
      </c>
      <c r="E339" s="64">
        <f>BalSheet!E58</f>
        <v>0</v>
      </c>
      <c r="F339" s="64">
        <f>BalSheet!F58</f>
        <v>0</v>
      </c>
      <c r="G339" s="64">
        <f>BalSheet!G58</f>
        <v>0</v>
      </c>
      <c r="H339" s="64">
        <f>BalSheet!H58</f>
        <v>0</v>
      </c>
      <c r="I339" s="64">
        <f>BalSheet!I58</f>
        <v>0</v>
      </c>
      <c r="J339" s="64">
        <f>BalSheet!J58</f>
        <v>0</v>
      </c>
      <c r="K339" s="64">
        <f>BalSheet!K58</f>
        <v>0</v>
      </c>
      <c r="L339" s="64">
        <f>BalSheet!L58</f>
        <v>0</v>
      </c>
      <c r="M339" s="64">
        <f>BalSheet!M58</f>
        <v>0</v>
      </c>
      <c r="N339" s="64">
        <f>BalSheet!N58</f>
        <v>0</v>
      </c>
      <c r="O339" s="64">
        <f>BalSheet!O58</f>
        <v>0</v>
      </c>
      <c r="P339" s="64">
        <f>BalSheet!P58</f>
        <v>0</v>
      </c>
      <c r="Q339" s="64">
        <f>BalSheet!Q58</f>
        <v>0</v>
      </c>
      <c r="R339" s="59"/>
    </row>
    <row r="340" spans="1:18" s="63" customFormat="1" ht="14.45" hidden="1" customHeight="1" outlineLevel="1" x14ac:dyDescent="0.25">
      <c r="C340" s="152"/>
      <c r="D340" s="64"/>
      <c r="E340" s="64"/>
      <c r="F340" s="64"/>
      <c r="G340" s="64"/>
      <c r="H340" s="64"/>
      <c r="I340" s="64"/>
      <c r="J340" s="64"/>
      <c r="K340" s="64"/>
      <c r="L340" s="64"/>
      <c r="M340" s="64"/>
      <c r="N340" s="64"/>
      <c r="O340" s="64"/>
      <c r="P340" s="64"/>
      <c r="Q340" s="64"/>
      <c r="R340" s="59"/>
    </row>
    <row r="341" spans="1:18" s="63" customFormat="1" ht="14.45" hidden="1" customHeight="1" outlineLevel="1" x14ac:dyDescent="0.25">
      <c r="B341" s="132" t="str">
        <f>BalSheet!B60</f>
        <v>Intangibles &amp; Other Assets</v>
      </c>
      <c r="C341" s="153"/>
      <c r="D341" s="160">
        <f>BalSheet!D60</f>
        <v>99061</v>
      </c>
      <c r="E341" s="159">
        <f>BalSheet!E60</f>
        <v>96902</v>
      </c>
      <c r="F341" s="159">
        <f>BalSheet!F60</f>
        <v>90679</v>
      </c>
      <c r="G341" s="159">
        <f>BalSheet!G60</f>
        <v>82613.440321162576</v>
      </c>
      <c r="H341" s="159">
        <f>BalSheet!H60</f>
        <v>75007.40664142379</v>
      </c>
      <c r="I341" s="159">
        <f>BalSheet!I60</f>
        <v>75007.40664142379</v>
      </c>
      <c r="J341" s="159">
        <f>BalSheet!J60</f>
        <v>75007.40664142379</v>
      </c>
      <c r="K341" s="159">
        <f>BalSheet!K60</f>
        <v>75007.40664142379</v>
      </c>
      <c r="L341" s="159">
        <f>BalSheet!L60</f>
        <v>75007.40664142379</v>
      </c>
      <c r="M341" s="159">
        <f>BalSheet!M60</f>
        <v>71580.737641423795</v>
      </c>
      <c r="N341" s="159">
        <f>BalSheet!N60</f>
        <v>68300.017641423794</v>
      </c>
      <c r="O341" s="159">
        <f>BalSheet!O60</f>
        <v>64867.21364142379</v>
      </c>
      <c r="P341" s="159">
        <f>BalSheet!P60</f>
        <v>64867.21364142379</v>
      </c>
      <c r="Q341" s="159">
        <f>BalSheet!Q60</f>
        <v>64867.21364142379</v>
      </c>
      <c r="R341" s="59"/>
    </row>
    <row r="342" spans="1:18" s="63" customFormat="1" ht="14.45" hidden="1" customHeight="1" outlineLevel="1" x14ac:dyDescent="0.25">
      <c r="B342" s="63" t="str">
        <f>BalSheet!B61</f>
        <v>Biz1</v>
      </c>
      <c r="C342" s="154"/>
      <c r="D342" s="64">
        <f>BalSheet!D61</f>
        <v>0</v>
      </c>
      <c r="E342" s="64">
        <f>BalSheet!E61</f>
        <v>0</v>
      </c>
      <c r="F342" s="64">
        <f>BalSheet!F61</f>
        <v>0</v>
      </c>
      <c r="G342" s="64">
        <f>BalSheet!G61</f>
        <v>0</v>
      </c>
      <c r="H342" s="64">
        <f>BalSheet!H61</f>
        <v>0</v>
      </c>
      <c r="I342" s="64">
        <f>BalSheet!I61</f>
        <v>0</v>
      </c>
      <c r="J342" s="64">
        <f>BalSheet!J61</f>
        <v>0</v>
      </c>
      <c r="K342" s="64">
        <f>BalSheet!K61</f>
        <v>0</v>
      </c>
      <c r="L342" s="64">
        <f>BalSheet!L61</f>
        <v>0</v>
      </c>
      <c r="M342" s="64">
        <f>BalSheet!M61</f>
        <v>0</v>
      </c>
      <c r="N342" s="64">
        <f>BalSheet!N61</f>
        <v>0</v>
      </c>
      <c r="O342" s="64">
        <f>BalSheet!O61</f>
        <v>0</v>
      </c>
      <c r="P342" s="64">
        <f>BalSheet!P61</f>
        <v>0</v>
      </c>
      <c r="Q342" s="64">
        <f>BalSheet!Q61</f>
        <v>0</v>
      </c>
      <c r="R342" s="59"/>
    </row>
    <row r="343" spans="1:18" s="63" customFormat="1" ht="14.45" hidden="1" customHeight="1" outlineLevel="1" x14ac:dyDescent="0.25">
      <c r="B343" s="63" t="str">
        <f>BalSheet!B62</f>
        <v>Biz2</v>
      </c>
      <c r="C343" s="154"/>
      <c r="D343" s="64">
        <f>BalSheet!D62</f>
        <v>0</v>
      </c>
      <c r="E343" s="64">
        <f>BalSheet!E62</f>
        <v>0</v>
      </c>
      <c r="F343" s="64">
        <f>BalSheet!F62</f>
        <v>0</v>
      </c>
      <c r="G343" s="64">
        <f>BalSheet!G62</f>
        <v>0</v>
      </c>
      <c r="H343" s="64">
        <f>BalSheet!H62</f>
        <v>0</v>
      </c>
      <c r="I343" s="64">
        <f>BalSheet!I62</f>
        <v>0</v>
      </c>
      <c r="J343" s="64">
        <f>BalSheet!J62</f>
        <v>0</v>
      </c>
      <c r="K343" s="64">
        <f>BalSheet!K62</f>
        <v>0</v>
      </c>
      <c r="L343" s="64">
        <f>BalSheet!L62</f>
        <v>0</v>
      </c>
      <c r="M343" s="64">
        <f>BalSheet!M62</f>
        <v>0</v>
      </c>
      <c r="N343" s="64">
        <f>BalSheet!N62</f>
        <v>0</v>
      </c>
      <c r="O343" s="64">
        <f>BalSheet!O62</f>
        <v>0</v>
      </c>
      <c r="P343" s="64">
        <f>BalSheet!P62</f>
        <v>0</v>
      </c>
      <c r="Q343" s="64">
        <f>BalSheet!Q62</f>
        <v>0</v>
      </c>
      <c r="R343" s="59"/>
    </row>
    <row r="344" spans="1:18" s="63" customFormat="1" ht="14.45" hidden="1" customHeight="1" outlineLevel="1" x14ac:dyDescent="0.25">
      <c r="B344" s="63" t="str">
        <f>BalSheet!B63</f>
        <v>CORP</v>
      </c>
      <c r="C344" s="154"/>
      <c r="D344" s="64">
        <f>BalSheet!D63</f>
        <v>99061</v>
      </c>
      <c r="E344" s="64">
        <f>BalSheet!E63</f>
        <v>96902</v>
      </c>
      <c r="F344" s="64">
        <f>BalSheet!F63</f>
        <v>90679</v>
      </c>
      <c r="G344" s="64">
        <f>BalSheet!G63</f>
        <v>82613.440321162576</v>
      </c>
      <c r="H344" s="64">
        <f>BalSheet!H63</f>
        <v>75007.40664142379</v>
      </c>
      <c r="I344" s="64">
        <f>BalSheet!I63</f>
        <v>75007.40664142379</v>
      </c>
      <c r="J344" s="64">
        <f>BalSheet!J63</f>
        <v>75007.40664142379</v>
      </c>
      <c r="K344" s="64">
        <f>BalSheet!K63</f>
        <v>75007.40664142379</v>
      </c>
      <c r="L344" s="64">
        <f>BalSheet!L63</f>
        <v>75007.40664142379</v>
      </c>
      <c r="M344" s="64">
        <f>BalSheet!M63</f>
        <v>71580.737641423795</v>
      </c>
      <c r="N344" s="64">
        <f>BalSheet!N63</f>
        <v>68300.017641423794</v>
      </c>
      <c r="O344" s="64">
        <f>BalSheet!O63</f>
        <v>64867.21364142379</v>
      </c>
      <c r="P344" s="64">
        <f>BalSheet!P63</f>
        <v>64867.21364142379</v>
      </c>
      <c r="Q344" s="64">
        <f>BalSheet!Q63</f>
        <v>64867.21364142379</v>
      </c>
      <c r="R344" s="59"/>
    </row>
    <row r="345" spans="1:18" s="63" customFormat="1" ht="14.45" hidden="1" customHeight="1" outlineLevel="1" x14ac:dyDescent="0.25">
      <c r="C345" s="152"/>
      <c r="D345" s="64"/>
      <c r="E345" s="64"/>
      <c r="F345" s="64"/>
      <c r="G345" s="64"/>
      <c r="H345" s="64"/>
      <c r="I345" s="64"/>
      <c r="J345" s="64"/>
      <c r="K345" s="64"/>
      <c r="L345" s="64"/>
      <c r="M345" s="64"/>
      <c r="N345" s="64"/>
      <c r="O345" s="64"/>
      <c r="P345" s="64"/>
      <c r="Q345" s="64"/>
      <c r="R345" s="59"/>
    </row>
    <row r="346" spans="1:18" s="66" customFormat="1" ht="14.45" hidden="1" customHeight="1" outlineLevel="1" collapsed="1" x14ac:dyDescent="0.25">
      <c r="A346" s="66" t="str">
        <f>BalSheet!A65</f>
        <v>TOTAL ASSETS</v>
      </c>
      <c r="B346" s="132"/>
      <c r="C346" s="153"/>
      <c r="D346" s="67">
        <f>BalSheet!D65</f>
        <v>862097.59323060035</v>
      </c>
      <c r="E346" s="67">
        <f>BalSheet!E65</f>
        <v>715646.93610052019</v>
      </c>
      <c r="F346" s="67">
        <f>BalSheet!F65</f>
        <v>656517.1304331905</v>
      </c>
      <c r="G346" s="67">
        <f>BalSheet!G65</f>
        <v>756057.37114771223</v>
      </c>
      <c r="H346" s="67">
        <f>BalSheet!H65</f>
        <v>704197.1433584824</v>
      </c>
      <c r="I346" s="67">
        <f>BalSheet!I65</f>
        <v>685972.97874504863</v>
      </c>
      <c r="J346" s="67">
        <f>BalSheet!J65</f>
        <v>685961.70502961962</v>
      </c>
      <c r="K346" s="67">
        <f>BalSheet!K65</f>
        <v>685950.43131419073</v>
      </c>
      <c r="L346" s="67">
        <f>BalSheet!L65</f>
        <v>685939.15759876184</v>
      </c>
      <c r="M346" s="67">
        <f>BalSheet!M65</f>
        <v>645386.92912831251</v>
      </c>
      <c r="N346" s="67">
        <f>BalSheet!N65</f>
        <v>681891.98408279312</v>
      </c>
      <c r="O346" s="67">
        <f>BalSheet!O65</f>
        <v>700079.21437591454</v>
      </c>
      <c r="P346" s="67">
        <f>BalSheet!P65</f>
        <v>700408.80846512166</v>
      </c>
      <c r="Q346" s="67">
        <f>BalSheet!Q65</f>
        <v>681314.40969208581</v>
      </c>
      <c r="R346" s="59"/>
    </row>
    <row r="347" spans="1:18" s="63" customFormat="1" ht="14.45" hidden="1" customHeight="1" outlineLevel="1" x14ac:dyDescent="0.25">
      <c r="B347" s="63" t="str">
        <f>BalSheet!B66</f>
        <v>Biz1</v>
      </c>
      <c r="C347" s="154"/>
      <c r="D347" s="64">
        <f>BalSheet!D66</f>
        <v>278623.22872375749</v>
      </c>
      <c r="E347" s="64">
        <f>BalSheet!E66</f>
        <v>186944.78261258226</v>
      </c>
      <c r="F347" s="64">
        <f>BalSheet!F66</f>
        <v>175067.95930731346</v>
      </c>
      <c r="G347" s="64">
        <f>BalSheet!G66</f>
        <v>308303.81888976699</v>
      </c>
      <c r="H347" s="64">
        <f>BalSheet!H66</f>
        <v>345575.02176719118</v>
      </c>
      <c r="I347" s="64">
        <f>BalSheet!I66</f>
        <v>333653.32676567126</v>
      </c>
      <c r="J347" s="64">
        <f>BalSheet!J66</f>
        <v>339944.52266215615</v>
      </c>
      <c r="K347" s="64">
        <f>BalSheet!K66</f>
        <v>346235.71855864115</v>
      </c>
      <c r="L347" s="64">
        <f>BalSheet!L66</f>
        <v>352526.9144551261</v>
      </c>
      <c r="M347" s="64">
        <f>BalSheet!M66</f>
        <v>403701.9788715936</v>
      </c>
      <c r="N347" s="64">
        <f>BalSheet!N66</f>
        <v>466862.13620575005</v>
      </c>
      <c r="O347" s="64">
        <f>BalSheet!O66</f>
        <v>513602.19292256748</v>
      </c>
      <c r="P347" s="64">
        <f>BalSheet!P66</f>
        <v>548526.85468364763</v>
      </c>
      <c r="Q347" s="64">
        <f>BalSheet!Q66</f>
        <v>564691.04554869351</v>
      </c>
      <c r="R347" s="59"/>
    </row>
    <row r="348" spans="1:18" s="63" customFormat="1" ht="14.45" hidden="1" customHeight="1" outlineLevel="1" x14ac:dyDescent="0.25">
      <c r="B348" s="63" t="str">
        <f>BalSheet!B67</f>
        <v>Biz2</v>
      </c>
      <c r="C348" s="154"/>
      <c r="D348" s="64">
        <f>BalSheet!D67</f>
        <v>53270.674506842901</v>
      </c>
      <c r="E348" s="64">
        <f>BalSheet!E67</f>
        <v>32263.34448793796</v>
      </c>
      <c r="F348" s="64">
        <f>BalSheet!F67</f>
        <v>31327.019125877036</v>
      </c>
      <c r="G348" s="64">
        <f>BalSheet!G67</f>
        <v>26301.566257945175</v>
      </c>
      <c r="H348" s="64">
        <f>BalSheet!H67</f>
        <v>35211.737624684873</v>
      </c>
      <c r="I348" s="64">
        <f>BalSheet!I67</f>
        <v>35689.653276550467</v>
      </c>
      <c r="J348" s="64">
        <f>BalSheet!J67</f>
        <v>36167.568928416069</v>
      </c>
      <c r="K348" s="64">
        <f>BalSheet!K67</f>
        <v>36645.484580281671</v>
      </c>
      <c r="L348" s="64">
        <f>BalSheet!L67</f>
        <v>37123.400232147265</v>
      </c>
      <c r="M348" s="64">
        <f>BalSheet!M67</f>
        <v>40871.113654501896</v>
      </c>
      <c r="N348" s="64">
        <f>BalSheet!N67</f>
        <v>43543.381365486879</v>
      </c>
      <c r="O348" s="64">
        <f>BalSheet!O67</f>
        <v>46141.339037608312</v>
      </c>
      <c r="P348" s="64">
        <f>BalSheet!P67</f>
        <v>48294.147840692851</v>
      </c>
      <c r="Q348" s="64">
        <f>BalSheet!Q67</f>
        <v>49783.255501968575</v>
      </c>
      <c r="R348" s="59"/>
    </row>
    <row r="349" spans="1:18" s="63" customFormat="1" ht="14.45" hidden="1" customHeight="1" outlineLevel="1" x14ac:dyDescent="0.25">
      <c r="B349" s="63" t="str">
        <f>BalSheet!B68</f>
        <v>CORP</v>
      </c>
      <c r="C349" s="154"/>
      <c r="D349" s="64">
        <f>BalSheet!D68</f>
        <v>530203.68999999994</v>
      </c>
      <c r="E349" s="64">
        <f>BalSheet!E68</f>
        <v>496438.80900000001</v>
      </c>
      <c r="F349" s="64">
        <f>BalSheet!F68</f>
        <v>450122.152</v>
      </c>
      <c r="G349" s="64">
        <f>BalSheet!G68</f>
        <v>421451.98600000003</v>
      </c>
      <c r="H349" s="64">
        <f>BalSheet!H68</f>
        <v>323410.38396660634</v>
      </c>
      <c r="I349" s="64">
        <f>BalSheet!I68</f>
        <v>316629.99870282685</v>
      </c>
      <c r="J349" s="64">
        <f>BalSheet!J68</f>
        <v>309849.61343904736</v>
      </c>
      <c r="K349" s="64">
        <f>BalSheet!K68</f>
        <v>303069.22817526793</v>
      </c>
      <c r="L349" s="64">
        <f>BalSheet!L68</f>
        <v>296288.84291148849</v>
      </c>
      <c r="M349" s="64">
        <f>BalSheet!M68</f>
        <v>200813.83660221702</v>
      </c>
      <c r="N349" s="64">
        <f>BalSheet!N68</f>
        <v>171486.46651155624</v>
      </c>
      <c r="O349" s="64">
        <f>BalSheet!O68</f>
        <v>140335.68241573876</v>
      </c>
      <c r="P349" s="64">
        <f>BalSheet!P68</f>
        <v>103587.80594078117</v>
      </c>
      <c r="Q349" s="64">
        <f>BalSheet!Q68</f>
        <v>66840.108641423794</v>
      </c>
      <c r="R349" s="59"/>
    </row>
    <row r="350" spans="1:18" s="63" customFormat="1" ht="14.45" hidden="1" customHeight="1" outlineLevel="1" x14ac:dyDescent="0.25">
      <c r="C350" s="152"/>
      <c r="H350" s="66"/>
      <c r="M350" s="66"/>
      <c r="N350" s="66"/>
      <c r="O350" s="66"/>
      <c r="P350" s="66"/>
      <c r="Q350" s="66"/>
      <c r="R350" s="59"/>
    </row>
    <row r="351" spans="1:18" s="63" customFormat="1" ht="14.45" hidden="1" customHeight="1" outlineLevel="1" x14ac:dyDescent="0.25">
      <c r="C351" s="152"/>
      <c r="D351" s="64"/>
      <c r="E351" s="64"/>
      <c r="F351" s="64"/>
      <c r="G351" s="64"/>
      <c r="H351" s="64"/>
      <c r="I351" s="64"/>
      <c r="J351" s="64"/>
      <c r="K351" s="64"/>
      <c r="L351" s="64"/>
      <c r="M351" s="64"/>
      <c r="N351" s="64"/>
      <c r="O351" s="64"/>
      <c r="P351" s="64"/>
      <c r="Q351" s="64"/>
      <c r="R351" s="59"/>
    </row>
    <row r="352" spans="1:18" s="63" customFormat="1" ht="14.45" hidden="1" customHeight="1" outlineLevel="1" collapsed="1" x14ac:dyDescent="0.25">
      <c r="A352" s="66" t="str">
        <f>BalSheet!A71</f>
        <v>LIABILITIES</v>
      </c>
      <c r="C352" s="152"/>
      <c r="D352" s="161"/>
      <c r="E352" s="161"/>
      <c r="F352" s="161"/>
      <c r="G352" s="162"/>
      <c r="H352" s="163"/>
      <c r="I352" s="164"/>
      <c r="J352" s="164"/>
      <c r="K352" s="164"/>
      <c r="L352" s="164"/>
      <c r="M352" s="163"/>
      <c r="N352" s="163"/>
      <c r="O352" s="163"/>
      <c r="P352" s="163"/>
      <c r="Q352" s="163"/>
      <c r="R352" s="59"/>
    </row>
    <row r="353" spans="2:18" s="63" customFormat="1" ht="14.45" hidden="1" customHeight="1" outlineLevel="1" x14ac:dyDescent="0.25">
      <c r="B353" s="63" t="str">
        <f>BalSheet!B72</f>
        <v>Revolving notes</v>
      </c>
      <c r="C353" s="153"/>
      <c r="D353" s="160">
        <f>BalSheet!D72</f>
        <v>0</v>
      </c>
      <c r="E353" s="159">
        <f>BalSheet!E72</f>
        <v>0</v>
      </c>
      <c r="F353" s="159">
        <f>BalSheet!F72</f>
        <v>2629.5790000000002</v>
      </c>
      <c r="G353" s="159">
        <f>BalSheet!G72</f>
        <v>16858</v>
      </c>
      <c r="H353" s="159">
        <f>BalSheet!H72</f>
        <v>-7115</v>
      </c>
      <c r="I353" s="159">
        <f>BalSheet!I72</f>
        <v>0</v>
      </c>
      <c r="J353" s="159">
        <f>BalSheet!J72</f>
        <v>0</v>
      </c>
      <c r="K353" s="159">
        <f>BalSheet!K72</f>
        <v>0</v>
      </c>
      <c r="L353" s="159">
        <f>BalSheet!L72</f>
        <v>0</v>
      </c>
      <c r="M353" s="159">
        <f>BalSheet!M72</f>
        <v>0</v>
      </c>
      <c r="N353" s="159">
        <f>BalSheet!N72</f>
        <v>0</v>
      </c>
      <c r="O353" s="159">
        <f>BalSheet!O72</f>
        <v>0</v>
      </c>
      <c r="P353" s="159">
        <f>BalSheet!P72</f>
        <v>0</v>
      </c>
      <c r="Q353" s="159">
        <f>BalSheet!Q72</f>
        <v>0</v>
      </c>
      <c r="R353" s="59"/>
    </row>
    <row r="354" spans="2:18" s="63" customFormat="1" ht="14.45" hidden="1" customHeight="1" outlineLevel="1" x14ac:dyDescent="0.25">
      <c r="B354" s="63" t="str">
        <f>BalSheet!B73</f>
        <v>Biz1</v>
      </c>
      <c r="C354" s="154"/>
      <c r="D354" s="64">
        <f>BalSheet!D73</f>
        <v>0</v>
      </c>
      <c r="E354" s="64">
        <f>BalSheet!E73</f>
        <v>0</v>
      </c>
      <c r="F354" s="64">
        <f>BalSheet!F73</f>
        <v>0</v>
      </c>
      <c r="G354" s="64">
        <f>BalSheet!G73</f>
        <v>18250</v>
      </c>
      <c r="H354" s="64">
        <f>BalSheet!H73</f>
        <v>-8250</v>
      </c>
      <c r="I354" s="64">
        <f>BalSheet!I73</f>
        <v>0</v>
      </c>
      <c r="J354" s="64">
        <f>BalSheet!J73</f>
        <v>0</v>
      </c>
      <c r="K354" s="64">
        <f>BalSheet!K73</f>
        <v>0</v>
      </c>
      <c r="L354" s="64">
        <f>BalSheet!L73</f>
        <v>0</v>
      </c>
      <c r="M354" s="64">
        <f>BalSheet!M73</f>
        <v>0</v>
      </c>
      <c r="N354" s="64">
        <f>BalSheet!N73</f>
        <v>0</v>
      </c>
      <c r="O354" s="64">
        <f>BalSheet!O73</f>
        <v>0</v>
      </c>
      <c r="P354" s="64">
        <f>BalSheet!P73</f>
        <v>0</v>
      </c>
      <c r="Q354" s="64">
        <f>BalSheet!Q73</f>
        <v>0</v>
      </c>
      <c r="R354" s="59"/>
    </row>
    <row r="355" spans="2:18" s="63" customFormat="1" ht="14.45" hidden="1" customHeight="1" outlineLevel="1" x14ac:dyDescent="0.25">
      <c r="B355" s="63" t="str">
        <f>BalSheet!B74</f>
        <v>Biz2</v>
      </c>
      <c r="C355" s="154"/>
      <c r="D355" s="64">
        <f>BalSheet!D74</f>
        <v>0</v>
      </c>
      <c r="E355" s="64">
        <f>BalSheet!E74</f>
        <v>0</v>
      </c>
      <c r="F355" s="64">
        <f>BalSheet!F74</f>
        <v>2629.5790000000002</v>
      </c>
      <c r="G355" s="64">
        <f>BalSheet!G74</f>
        <v>-1392</v>
      </c>
      <c r="H355" s="64">
        <f>BalSheet!H74</f>
        <v>1135</v>
      </c>
      <c r="I355" s="64">
        <f>BalSheet!I74</f>
        <v>0</v>
      </c>
      <c r="J355" s="64">
        <f>BalSheet!J74</f>
        <v>0</v>
      </c>
      <c r="K355" s="64">
        <f>BalSheet!K74</f>
        <v>0</v>
      </c>
      <c r="L355" s="64">
        <f>BalSheet!L74</f>
        <v>0</v>
      </c>
      <c r="M355" s="64">
        <f>BalSheet!M74</f>
        <v>0</v>
      </c>
      <c r="N355" s="64">
        <f>BalSheet!N74</f>
        <v>0</v>
      </c>
      <c r="O355" s="64">
        <f>BalSheet!O74</f>
        <v>0</v>
      </c>
      <c r="P355" s="64">
        <f>BalSheet!P74</f>
        <v>0</v>
      </c>
      <c r="Q355" s="64">
        <f>BalSheet!Q74</f>
        <v>0</v>
      </c>
      <c r="R355" s="59"/>
    </row>
    <row r="356" spans="2:18" s="63" customFormat="1" ht="14.45" hidden="1" customHeight="1" outlineLevel="1" x14ac:dyDescent="0.25">
      <c r="B356" s="63" t="str">
        <f>BalSheet!B75</f>
        <v>CORP</v>
      </c>
      <c r="C356" s="154"/>
      <c r="D356" s="64">
        <f>BalSheet!D75</f>
        <v>0</v>
      </c>
      <c r="E356" s="64">
        <f>BalSheet!E75</f>
        <v>0</v>
      </c>
      <c r="F356" s="64">
        <f>BalSheet!F75</f>
        <v>0</v>
      </c>
      <c r="G356" s="64">
        <f>BalSheet!G75</f>
        <v>0</v>
      </c>
      <c r="H356" s="64">
        <f>BalSheet!H75</f>
        <v>0</v>
      </c>
      <c r="I356" s="64">
        <f>BalSheet!I75</f>
        <v>0</v>
      </c>
      <c r="J356" s="64">
        <f>BalSheet!J75</f>
        <v>0</v>
      </c>
      <c r="K356" s="64">
        <f>BalSheet!K75</f>
        <v>0</v>
      </c>
      <c r="L356" s="64">
        <f>BalSheet!L75</f>
        <v>0</v>
      </c>
      <c r="M356" s="64">
        <f>BalSheet!M75</f>
        <v>0</v>
      </c>
      <c r="N356" s="64">
        <f>BalSheet!N75</f>
        <v>0</v>
      </c>
      <c r="O356" s="64">
        <f>BalSheet!O75</f>
        <v>0</v>
      </c>
      <c r="P356" s="64">
        <f>BalSheet!P75</f>
        <v>0</v>
      </c>
      <c r="Q356" s="64">
        <f>BalSheet!Q75</f>
        <v>0</v>
      </c>
      <c r="R356" s="59"/>
    </row>
    <row r="357" spans="2:18" s="63" customFormat="1" ht="14.45" hidden="1" customHeight="1" outlineLevel="1" x14ac:dyDescent="0.25">
      <c r="C357" s="152"/>
      <c r="D357" s="64"/>
      <c r="E357" s="64"/>
      <c r="F357" s="64"/>
      <c r="G357" s="64"/>
      <c r="H357" s="64"/>
      <c r="I357" s="64"/>
      <c r="J357" s="64"/>
      <c r="K357" s="64"/>
      <c r="L357" s="64"/>
      <c r="M357" s="64"/>
      <c r="N357" s="64"/>
      <c r="O357" s="64"/>
      <c r="P357" s="64"/>
      <c r="Q357" s="64"/>
      <c r="R357" s="59"/>
    </row>
    <row r="358" spans="2:18" s="63" customFormat="1" ht="14.45" hidden="1" customHeight="1" outlineLevel="1" collapsed="1" x14ac:dyDescent="0.25">
      <c r="B358" s="63" t="str">
        <f>BalSheet!B77</f>
        <v>A/P and other accrued</v>
      </c>
      <c r="C358" s="153"/>
      <c r="D358" s="160">
        <f>BalSheet!D77</f>
        <v>146603.86843504239</v>
      </c>
      <c r="E358" s="159">
        <f>BalSheet!E77</f>
        <v>71542.751304962207</v>
      </c>
      <c r="F358" s="159">
        <f>BalSheet!F77</f>
        <v>64040.176637632467</v>
      </c>
      <c r="G358" s="159">
        <f>BalSheet!G77</f>
        <v>147447.74066140049</v>
      </c>
      <c r="H358" s="159">
        <f>BalSheet!H77</f>
        <v>187945.31432437035</v>
      </c>
      <c r="I358" s="159">
        <f>BalSheet!I77</f>
        <v>168484.89389320021</v>
      </c>
      <c r="J358" s="159">
        <f>BalSheet!J77</f>
        <v>168484.89389320021</v>
      </c>
      <c r="K358" s="159">
        <f>BalSheet!K77</f>
        <v>168484.89389320021</v>
      </c>
      <c r="L358" s="159">
        <f>BalSheet!L77</f>
        <v>168484.89389320021</v>
      </c>
      <c r="M358" s="159">
        <f>BalSheet!M77</f>
        <v>188537.01076602482</v>
      </c>
      <c r="N358" s="159">
        <f>BalSheet!N77</f>
        <v>214911.11926111329</v>
      </c>
      <c r="O358" s="159">
        <f>BalSheet!O77</f>
        <v>222311.54439217108</v>
      </c>
      <c r="P358" s="159">
        <f>BalSheet!P77</f>
        <v>219166.71897353526</v>
      </c>
      <c r="Q358" s="159">
        <f>BalSheet!Q77</f>
        <v>212545.28847605744</v>
      </c>
      <c r="R358" s="59"/>
    </row>
    <row r="359" spans="2:18" s="63" customFormat="1" ht="14.45" hidden="1" customHeight="1" outlineLevel="1" x14ac:dyDescent="0.25">
      <c r="B359" s="63" t="str">
        <f>BalSheet!B78</f>
        <v>Biz1</v>
      </c>
      <c r="C359" s="154"/>
      <c r="D359" s="64">
        <f>BalSheet!D78</f>
        <v>98208.181215727192</v>
      </c>
      <c r="E359" s="64">
        <f>BalSheet!E78</f>
        <v>47310.967104551964</v>
      </c>
      <c r="F359" s="64">
        <f>BalSheet!F78</f>
        <v>44793.421799283147</v>
      </c>
      <c r="G359" s="64">
        <f>BalSheet!G78</f>
        <v>129474.77569098304</v>
      </c>
      <c r="H359" s="64">
        <f>BalSheet!H78</f>
        <v>164359.76689077052</v>
      </c>
      <c r="I359" s="64">
        <f>BalSheet!I78</f>
        <v>144899.34645960038</v>
      </c>
      <c r="J359" s="64">
        <f>BalSheet!J78</f>
        <v>144899.34645960038</v>
      </c>
      <c r="K359" s="64">
        <f>BalSheet!K78</f>
        <v>144899.34645960038</v>
      </c>
      <c r="L359" s="64">
        <f>BalSheet!L78</f>
        <v>144899.34645960038</v>
      </c>
      <c r="M359" s="64">
        <f>BalSheet!M78</f>
        <v>162545.73948037915</v>
      </c>
      <c r="N359" s="64">
        <f>BalSheet!N78</f>
        <v>188248.29582647514</v>
      </c>
      <c r="O359" s="64">
        <f>BalSheet!O78</f>
        <v>194985.95750184212</v>
      </c>
      <c r="P359" s="64">
        <f>BalSheet!P78</f>
        <v>191515.70085641227</v>
      </c>
      <c r="Q359" s="64">
        <f>BalSheet!Q78</f>
        <v>185232.54027394921</v>
      </c>
      <c r="R359" s="59"/>
    </row>
    <row r="360" spans="2:18" s="63" customFormat="1" ht="14.45" hidden="1" customHeight="1" outlineLevel="1" x14ac:dyDescent="0.25">
      <c r="B360" s="63" t="str">
        <f>BalSheet!B79</f>
        <v>Biz2</v>
      </c>
      <c r="C360" s="154"/>
      <c r="D360" s="64">
        <f>BalSheet!D79</f>
        <v>48395.687219315187</v>
      </c>
      <c r="E360" s="64">
        <f>BalSheet!E79</f>
        <v>24231.784200410249</v>
      </c>
      <c r="F360" s="64">
        <f>BalSheet!F79</f>
        <v>19246.754838349319</v>
      </c>
      <c r="G360" s="64">
        <f>BalSheet!G79</f>
        <v>17972.964970417463</v>
      </c>
      <c r="H360" s="64">
        <f>BalSheet!H79</f>
        <v>23585.547433599833</v>
      </c>
      <c r="I360" s="64">
        <f>BalSheet!I79</f>
        <v>23585.547433599833</v>
      </c>
      <c r="J360" s="64">
        <f>BalSheet!J79</f>
        <v>23585.547433599833</v>
      </c>
      <c r="K360" s="64">
        <f>BalSheet!K79</f>
        <v>23585.547433599833</v>
      </c>
      <c r="L360" s="64">
        <f>BalSheet!L79</f>
        <v>23585.547433599833</v>
      </c>
      <c r="M360" s="64">
        <f>BalSheet!M79</f>
        <v>25991.271285645667</v>
      </c>
      <c r="N360" s="64">
        <f>BalSheet!N79</f>
        <v>26662.823434638147</v>
      </c>
      <c r="O360" s="64">
        <f>BalSheet!O79</f>
        <v>27325.586890328956</v>
      </c>
      <c r="P360" s="64">
        <f>BalSheet!P79</f>
        <v>27651.018117122996</v>
      </c>
      <c r="Q360" s="64">
        <f>BalSheet!Q79</f>
        <v>27312.748202108214</v>
      </c>
      <c r="R360" s="59"/>
    </row>
    <row r="361" spans="2:18" s="63" customFormat="1" ht="14.45" hidden="1" customHeight="1" outlineLevel="1" x14ac:dyDescent="0.25">
      <c r="B361" s="63" t="str">
        <f>BalSheet!B80</f>
        <v>CORP</v>
      </c>
      <c r="C361" s="154"/>
      <c r="D361" s="64">
        <f>BalSheet!D80</f>
        <v>0</v>
      </c>
      <c r="E361" s="64">
        <f>BalSheet!E80</f>
        <v>0</v>
      </c>
      <c r="F361" s="64">
        <f>BalSheet!F80</f>
        <v>0</v>
      </c>
      <c r="G361" s="64">
        <f>BalSheet!G80</f>
        <v>0</v>
      </c>
      <c r="H361" s="64">
        <f>BalSheet!H80</f>
        <v>0</v>
      </c>
      <c r="I361" s="64">
        <f>BalSheet!I80</f>
        <v>0</v>
      </c>
      <c r="J361" s="64">
        <f>BalSheet!J80</f>
        <v>0</v>
      </c>
      <c r="K361" s="64">
        <f>BalSheet!K80</f>
        <v>0</v>
      </c>
      <c r="L361" s="64">
        <f>BalSheet!L80</f>
        <v>0</v>
      </c>
      <c r="M361" s="64">
        <f>BalSheet!M80</f>
        <v>0</v>
      </c>
      <c r="N361" s="64">
        <f>BalSheet!N80</f>
        <v>0</v>
      </c>
      <c r="O361" s="64">
        <f>BalSheet!O80</f>
        <v>0</v>
      </c>
      <c r="P361" s="64">
        <f>BalSheet!P80</f>
        <v>0</v>
      </c>
      <c r="Q361" s="64">
        <f>BalSheet!Q80</f>
        <v>0</v>
      </c>
      <c r="R361" s="59"/>
    </row>
    <row r="362" spans="2:18" s="63" customFormat="1" ht="14.45" hidden="1" customHeight="1" outlineLevel="1" x14ac:dyDescent="0.25">
      <c r="C362" s="152"/>
      <c r="D362" s="64"/>
      <c r="E362" s="64"/>
      <c r="F362" s="64"/>
      <c r="G362" s="64"/>
      <c r="H362" s="64"/>
      <c r="I362" s="64"/>
      <c r="J362" s="64"/>
      <c r="K362" s="64"/>
      <c r="L362" s="64"/>
      <c r="M362" s="64"/>
      <c r="N362" s="64"/>
      <c r="O362" s="64"/>
      <c r="P362" s="64"/>
      <c r="Q362" s="64"/>
      <c r="R362" s="59"/>
    </row>
    <row r="363" spans="2:18" s="63" customFormat="1" ht="14.45" hidden="1" customHeight="1" outlineLevel="1" x14ac:dyDescent="0.25">
      <c r="B363" s="63" t="str">
        <f>BalSheet!B82</f>
        <v>Losses in ex. of inv. of de-con sub</v>
      </c>
      <c r="C363" s="153"/>
      <c r="D363" s="160">
        <f>BalSheet!D82</f>
        <v>15313</v>
      </c>
      <c r="E363" s="159">
        <f>BalSheet!E82</f>
        <v>15313</v>
      </c>
      <c r="F363" s="159">
        <f>BalSheet!F82</f>
        <v>0</v>
      </c>
      <c r="G363" s="159">
        <f>BalSheet!G82</f>
        <v>0</v>
      </c>
      <c r="H363" s="159">
        <f>BalSheet!H82</f>
        <v>0</v>
      </c>
      <c r="I363" s="159">
        <f>BalSheet!I82</f>
        <v>0</v>
      </c>
      <c r="J363" s="159">
        <f>BalSheet!J82</f>
        <v>0</v>
      </c>
      <c r="K363" s="159">
        <f>BalSheet!K82</f>
        <v>0</v>
      </c>
      <c r="L363" s="159">
        <f>BalSheet!L82</f>
        <v>0</v>
      </c>
      <c r="M363" s="159">
        <f>BalSheet!M82</f>
        <v>0</v>
      </c>
      <c r="N363" s="159">
        <f>BalSheet!N82</f>
        <v>0</v>
      </c>
      <c r="O363" s="159">
        <f>BalSheet!O82</f>
        <v>0</v>
      </c>
      <c r="P363" s="159">
        <f>BalSheet!P82</f>
        <v>0</v>
      </c>
      <c r="Q363" s="159">
        <f>BalSheet!Q82</f>
        <v>0</v>
      </c>
      <c r="R363" s="59"/>
    </row>
    <row r="364" spans="2:18" s="63" customFormat="1" ht="14.45" hidden="1" customHeight="1" outlineLevel="1" x14ac:dyDescent="0.25">
      <c r="B364" s="63" t="str">
        <f>BalSheet!B83</f>
        <v>Biz1</v>
      </c>
      <c r="C364" s="154"/>
      <c r="D364" s="64">
        <f>BalSheet!D83</f>
        <v>0</v>
      </c>
      <c r="E364" s="64">
        <f>BalSheet!E83</f>
        <v>0</v>
      </c>
      <c r="F364" s="64">
        <f>BalSheet!F83</f>
        <v>0</v>
      </c>
      <c r="G364" s="64">
        <f>BalSheet!G83</f>
        <v>0</v>
      </c>
      <c r="H364" s="64">
        <f>BalSheet!H83</f>
        <v>0</v>
      </c>
      <c r="I364" s="64">
        <f>BalSheet!I83</f>
        <v>0</v>
      </c>
      <c r="J364" s="64">
        <f>BalSheet!J83</f>
        <v>0</v>
      </c>
      <c r="K364" s="64">
        <f>BalSheet!K83</f>
        <v>0</v>
      </c>
      <c r="L364" s="64">
        <f>BalSheet!L83</f>
        <v>0</v>
      </c>
      <c r="M364" s="64">
        <f>BalSheet!M83</f>
        <v>0</v>
      </c>
      <c r="N364" s="64">
        <f>BalSheet!N83</f>
        <v>0</v>
      </c>
      <c r="O364" s="64">
        <f>BalSheet!O83</f>
        <v>0</v>
      </c>
      <c r="P364" s="64">
        <f>BalSheet!P83</f>
        <v>0</v>
      </c>
      <c r="Q364" s="64">
        <f>BalSheet!Q83</f>
        <v>0</v>
      </c>
      <c r="R364" s="59"/>
    </row>
    <row r="365" spans="2:18" s="63" customFormat="1" ht="14.45" hidden="1" customHeight="1" outlineLevel="1" x14ac:dyDescent="0.25">
      <c r="B365" s="63" t="str">
        <f>BalSheet!B84</f>
        <v>Biz2</v>
      </c>
      <c r="C365" s="154"/>
      <c r="D365" s="64">
        <f>BalSheet!D84</f>
        <v>0</v>
      </c>
      <c r="E365" s="64">
        <f>BalSheet!E84</f>
        <v>0</v>
      </c>
      <c r="F365" s="64">
        <f>BalSheet!F84</f>
        <v>0</v>
      </c>
      <c r="G365" s="64">
        <f>BalSheet!G84</f>
        <v>0</v>
      </c>
      <c r="H365" s="64">
        <f>BalSheet!H84</f>
        <v>0</v>
      </c>
      <c r="I365" s="64">
        <f>BalSheet!I84</f>
        <v>0</v>
      </c>
      <c r="J365" s="64">
        <f>BalSheet!J84</f>
        <v>0</v>
      </c>
      <c r="K365" s="64">
        <f>BalSheet!K84</f>
        <v>0</v>
      </c>
      <c r="L365" s="64">
        <f>BalSheet!L84</f>
        <v>0</v>
      </c>
      <c r="M365" s="64">
        <f>BalSheet!M84</f>
        <v>0</v>
      </c>
      <c r="N365" s="64">
        <f>BalSheet!N84</f>
        <v>0</v>
      </c>
      <c r="O365" s="64">
        <f>BalSheet!O84</f>
        <v>0</v>
      </c>
      <c r="P365" s="64">
        <f>BalSheet!P84</f>
        <v>0</v>
      </c>
      <c r="Q365" s="64">
        <f>BalSheet!Q84</f>
        <v>0</v>
      </c>
      <c r="R365" s="59"/>
    </row>
    <row r="366" spans="2:18" s="63" customFormat="1" ht="14.45" hidden="1" customHeight="1" outlineLevel="1" x14ac:dyDescent="0.25">
      <c r="B366" s="63" t="str">
        <f>BalSheet!B85</f>
        <v>CORP</v>
      </c>
      <c r="C366" s="154"/>
      <c r="D366" s="64">
        <f>BalSheet!D85</f>
        <v>15313</v>
      </c>
      <c r="E366" s="64">
        <f>BalSheet!E85</f>
        <v>15313</v>
      </c>
      <c r="F366" s="64">
        <f>BalSheet!F85</f>
        <v>0</v>
      </c>
      <c r="G366" s="64">
        <f>BalSheet!G85</f>
        <v>0</v>
      </c>
      <c r="H366" s="64">
        <f>BalSheet!H85</f>
        <v>0</v>
      </c>
      <c r="I366" s="64">
        <f>BalSheet!I85</f>
        <v>0</v>
      </c>
      <c r="J366" s="64">
        <f>BalSheet!J85</f>
        <v>0</v>
      </c>
      <c r="K366" s="64">
        <f>BalSheet!K85</f>
        <v>0</v>
      </c>
      <c r="L366" s="64">
        <f>BalSheet!L85</f>
        <v>0</v>
      </c>
      <c r="M366" s="64">
        <f>BalSheet!M85</f>
        <v>0</v>
      </c>
      <c r="N366" s="64">
        <f>BalSheet!N85</f>
        <v>0</v>
      </c>
      <c r="O366" s="64">
        <f>BalSheet!O85</f>
        <v>0</v>
      </c>
      <c r="P366" s="64">
        <f>BalSheet!P85</f>
        <v>0</v>
      </c>
      <c r="Q366" s="64">
        <f>BalSheet!Q85</f>
        <v>0</v>
      </c>
      <c r="R366" s="59"/>
    </row>
    <row r="367" spans="2:18" s="63" customFormat="1" ht="14.45" hidden="1" customHeight="1" outlineLevel="1" x14ac:dyDescent="0.25">
      <c r="C367" s="152"/>
      <c r="D367" s="64"/>
      <c r="E367" s="64"/>
      <c r="F367" s="64"/>
      <c r="G367" s="64"/>
      <c r="H367" s="64"/>
      <c r="I367" s="64"/>
      <c r="J367" s="64"/>
      <c r="K367" s="64"/>
      <c r="L367" s="64"/>
      <c r="M367" s="64"/>
      <c r="N367" s="64"/>
      <c r="O367" s="64"/>
      <c r="P367" s="64"/>
      <c r="Q367" s="64"/>
      <c r="R367" s="59"/>
    </row>
    <row r="368" spans="2:18" s="63" customFormat="1" ht="14.45" hidden="1" customHeight="1" outlineLevel="1" x14ac:dyDescent="0.25">
      <c r="B368" s="63" t="str">
        <f>BalSheet!B87</f>
        <v>Deferred revenue</v>
      </c>
      <c r="C368" s="153"/>
      <c r="D368" s="160">
        <f>BalSheet!D87</f>
        <v>17628</v>
      </c>
      <c r="E368" s="159">
        <f>BalSheet!E87</f>
        <v>15400</v>
      </c>
      <c r="F368" s="159">
        <f>BalSheet!F87</f>
        <v>9101.6</v>
      </c>
      <c r="G368" s="159">
        <f>BalSheet!G87</f>
        <v>7409.7999999999993</v>
      </c>
      <c r="H368" s="159">
        <f>BalSheet!H87</f>
        <v>6285.9583428195238</v>
      </c>
      <c r="I368" s="159">
        <f>BalSheet!I87</f>
        <v>6285.9583428195238</v>
      </c>
      <c r="J368" s="159">
        <f>BalSheet!J87</f>
        <v>6285.9583428195238</v>
      </c>
      <c r="K368" s="159">
        <f>BalSheet!K87</f>
        <v>6285.9583428195238</v>
      </c>
      <c r="L368" s="159">
        <f>BalSheet!L87</f>
        <v>6285.9583428195238</v>
      </c>
      <c r="M368" s="159">
        <f>BalSheet!M87</f>
        <v>7015.2909984099051</v>
      </c>
      <c r="N368" s="159">
        <f>BalSheet!N87</f>
        <v>8061.3429793836731</v>
      </c>
      <c r="O368" s="159">
        <f>BalSheet!O87</f>
        <v>8608.2559904239806</v>
      </c>
      <c r="P368" s="159">
        <f>BalSheet!P87</f>
        <v>8608.2559904239806</v>
      </c>
      <c r="Q368" s="159">
        <f>BalSheet!Q87</f>
        <v>8608.2559904239806</v>
      </c>
      <c r="R368" s="59"/>
    </row>
    <row r="369" spans="2:18" s="63" customFormat="1" ht="14.45" hidden="1" customHeight="1" outlineLevel="1" x14ac:dyDescent="0.25">
      <c r="B369" s="63" t="str">
        <f>BalSheet!B88</f>
        <v>Biz1</v>
      </c>
      <c r="C369" s="154"/>
      <c r="D369" s="64">
        <f>BalSheet!D88</f>
        <v>4407</v>
      </c>
      <c r="E369" s="64">
        <f>BalSheet!E88</f>
        <v>3850</v>
      </c>
      <c r="F369" s="64">
        <f>BalSheet!F88</f>
        <v>2275.4</v>
      </c>
      <c r="G369" s="64">
        <f>BalSheet!G88</f>
        <v>1852.45</v>
      </c>
      <c r="H369" s="64">
        <f>BalSheet!H88</f>
        <v>1571.4895857048812</v>
      </c>
      <c r="I369" s="64">
        <f>BalSheet!I88</f>
        <v>1571.4895857048812</v>
      </c>
      <c r="J369" s="64">
        <f>BalSheet!J88</f>
        <v>1571.4895857048812</v>
      </c>
      <c r="K369" s="64">
        <f>BalSheet!K88</f>
        <v>1571.4895857048812</v>
      </c>
      <c r="L369" s="64">
        <f>BalSheet!L88</f>
        <v>1571.4895857048812</v>
      </c>
      <c r="M369" s="64">
        <f>BalSheet!M88</f>
        <v>1753.8227496024765</v>
      </c>
      <c r="N369" s="64">
        <f>BalSheet!N88</f>
        <v>2015.3357448459185</v>
      </c>
      <c r="O369" s="64">
        <f>BalSheet!O88</f>
        <v>2152.0639976059952</v>
      </c>
      <c r="P369" s="64">
        <f>BalSheet!P88</f>
        <v>2152.0639976059952</v>
      </c>
      <c r="Q369" s="64">
        <f>BalSheet!Q88</f>
        <v>2152.0639976059952</v>
      </c>
      <c r="R369" s="59"/>
    </row>
    <row r="370" spans="2:18" s="63" customFormat="1" ht="14.45" hidden="1" customHeight="1" outlineLevel="1" x14ac:dyDescent="0.25">
      <c r="B370" s="63" t="str">
        <f>BalSheet!B89</f>
        <v>Biz2</v>
      </c>
      <c r="C370" s="154"/>
      <c r="D370" s="64">
        <f>BalSheet!D89</f>
        <v>6610.5</v>
      </c>
      <c r="E370" s="64">
        <f>BalSheet!E89</f>
        <v>5775</v>
      </c>
      <c r="F370" s="64">
        <f>BalSheet!F89</f>
        <v>3413.1</v>
      </c>
      <c r="G370" s="64">
        <f>BalSheet!G89</f>
        <v>2778.6749999999997</v>
      </c>
      <c r="H370" s="64">
        <f>BalSheet!H89</f>
        <v>2357.2343785573216</v>
      </c>
      <c r="I370" s="64">
        <f>BalSheet!I89</f>
        <v>2357.2343785573216</v>
      </c>
      <c r="J370" s="64">
        <f>BalSheet!J89</f>
        <v>2357.2343785573216</v>
      </c>
      <c r="K370" s="64">
        <f>BalSheet!K89</f>
        <v>2357.2343785573216</v>
      </c>
      <c r="L370" s="64">
        <f>BalSheet!L89</f>
        <v>2357.2343785573216</v>
      </c>
      <c r="M370" s="64">
        <f>BalSheet!M89</f>
        <v>2630.7341244037143</v>
      </c>
      <c r="N370" s="64">
        <f>BalSheet!N89</f>
        <v>3023.0036172688774</v>
      </c>
      <c r="O370" s="64">
        <f>BalSheet!O89</f>
        <v>3228.095996408993</v>
      </c>
      <c r="P370" s="64">
        <f>BalSheet!P89</f>
        <v>3228.095996408993</v>
      </c>
      <c r="Q370" s="64">
        <f>BalSheet!Q89</f>
        <v>3228.095996408993</v>
      </c>
      <c r="R370" s="59"/>
    </row>
    <row r="371" spans="2:18" s="63" customFormat="1" ht="14.45" hidden="1" customHeight="1" outlineLevel="1" x14ac:dyDescent="0.25">
      <c r="B371" s="63" t="str">
        <f>BalSheet!B90</f>
        <v>CORP</v>
      </c>
      <c r="C371" s="154"/>
      <c r="D371" s="64">
        <f>BalSheet!D90</f>
        <v>6610.5</v>
      </c>
      <c r="E371" s="64">
        <f>BalSheet!E90</f>
        <v>5775</v>
      </c>
      <c r="F371" s="64">
        <f>BalSheet!F90</f>
        <v>3413.1</v>
      </c>
      <c r="G371" s="64">
        <f>BalSheet!G90</f>
        <v>2778.6749999999997</v>
      </c>
      <c r="H371" s="64">
        <f>BalSheet!H90</f>
        <v>2357.2343785573216</v>
      </c>
      <c r="I371" s="64">
        <f>BalSheet!I90</f>
        <v>2357.2343785573216</v>
      </c>
      <c r="J371" s="64">
        <f>BalSheet!J90</f>
        <v>2357.2343785573216</v>
      </c>
      <c r="K371" s="64">
        <f>BalSheet!K90</f>
        <v>2357.2343785573216</v>
      </c>
      <c r="L371" s="64">
        <f>BalSheet!L90</f>
        <v>2357.2343785573216</v>
      </c>
      <c r="M371" s="64">
        <f>BalSheet!M90</f>
        <v>2630.7341244037143</v>
      </c>
      <c r="N371" s="64">
        <f>BalSheet!N90</f>
        <v>3023.0036172688774</v>
      </c>
      <c r="O371" s="64">
        <f>BalSheet!O90</f>
        <v>3228.095996408993</v>
      </c>
      <c r="P371" s="64">
        <f>BalSheet!P90</f>
        <v>3228.095996408993</v>
      </c>
      <c r="Q371" s="64">
        <f>BalSheet!Q90</f>
        <v>3228.095996408993</v>
      </c>
      <c r="R371" s="59"/>
    </row>
    <row r="372" spans="2:18" s="63" customFormat="1" ht="14.45" hidden="1" customHeight="1" outlineLevel="1" x14ac:dyDescent="0.25">
      <c r="C372" s="152"/>
      <c r="D372" s="64"/>
      <c r="E372" s="64"/>
      <c r="F372" s="64"/>
      <c r="G372" s="64"/>
      <c r="H372" s="64"/>
      <c r="I372" s="64"/>
      <c r="J372" s="64"/>
      <c r="K372" s="64"/>
      <c r="L372" s="64"/>
      <c r="M372" s="64"/>
      <c r="N372" s="64"/>
      <c r="O372" s="64"/>
      <c r="P372" s="64"/>
      <c r="Q372" s="64"/>
      <c r="R372" s="59"/>
    </row>
    <row r="373" spans="2:18" s="63" customFormat="1" ht="14.45" hidden="1" customHeight="1" outlineLevel="1" x14ac:dyDescent="0.25">
      <c r="B373" s="132" t="str">
        <f>BalSheet!B92</f>
        <v>Deferred income taxes</v>
      </c>
      <c r="C373" s="153"/>
      <c r="D373" s="160">
        <f>BalSheet!D92</f>
        <v>0</v>
      </c>
      <c r="E373" s="159">
        <f>BalSheet!E92</f>
        <v>0</v>
      </c>
      <c r="F373" s="159">
        <f>BalSheet!F92</f>
        <v>0</v>
      </c>
      <c r="G373" s="159">
        <f>BalSheet!G92</f>
        <v>0</v>
      </c>
      <c r="H373" s="159">
        <f>BalSheet!H92</f>
        <v>0</v>
      </c>
      <c r="I373" s="159">
        <f>BalSheet!I92</f>
        <v>0</v>
      </c>
      <c r="J373" s="159">
        <f>BalSheet!J92</f>
        <v>0</v>
      </c>
      <c r="K373" s="159">
        <f>BalSheet!K92</f>
        <v>0</v>
      </c>
      <c r="L373" s="159">
        <f>BalSheet!L92</f>
        <v>0</v>
      </c>
      <c r="M373" s="159">
        <f>BalSheet!M92</f>
        <v>0</v>
      </c>
      <c r="N373" s="159">
        <f>BalSheet!N92</f>
        <v>0</v>
      </c>
      <c r="O373" s="159">
        <f>BalSheet!O92</f>
        <v>0</v>
      </c>
      <c r="P373" s="159">
        <f>BalSheet!P92</f>
        <v>0</v>
      </c>
      <c r="Q373" s="159">
        <f>BalSheet!Q92</f>
        <v>0</v>
      </c>
      <c r="R373" s="59"/>
    </row>
    <row r="374" spans="2:18" s="63" customFormat="1" ht="14.45" hidden="1" customHeight="1" outlineLevel="1" x14ac:dyDescent="0.25">
      <c r="B374" s="63" t="str">
        <f>BalSheet!B93</f>
        <v>Biz1</v>
      </c>
      <c r="C374" s="154"/>
      <c r="D374" s="64">
        <f>BalSheet!D93</f>
        <v>0</v>
      </c>
      <c r="E374" s="64">
        <f>BalSheet!E93</f>
        <v>0</v>
      </c>
      <c r="F374" s="64">
        <f>BalSheet!F93</f>
        <v>0</v>
      </c>
      <c r="G374" s="64">
        <f>BalSheet!G93</f>
        <v>0</v>
      </c>
      <c r="H374" s="64">
        <f>BalSheet!H93</f>
        <v>0</v>
      </c>
      <c r="I374" s="64">
        <f>BalSheet!I93</f>
        <v>0</v>
      </c>
      <c r="J374" s="64">
        <f>BalSheet!J93</f>
        <v>0</v>
      </c>
      <c r="K374" s="64">
        <f>BalSheet!K93</f>
        <v>0</v>
      </c>
      <c r="L374" s="64">
        <f>BalSheet!L93</f>
        <v>0</v>
      </c>
      <c r="M374" s="64">
        <f>BalSheet!M93</f>
        <v>0</v>
      </c>
      <c r="N374" s="64">
        <f>BalSheet!N93</f>
        <v>0</v>
      </c>
      <c r="O374" s="64">
        <f>BalSheet!O93</f>
        <v>0</v>
      </c>
      <c r="P374" s="64">
        <f>BalSheet!P93</f>
        <v>0</v>
      </c>
      <c r="Q374" s="64">
        <f>BalSheet!Q93</f>
        <v>0</v>
      </c>
      <c r="R374" s="59"/>
    </row>
    <row r="375" spans="2:18" s="63" customFormat="1" ht="14.45" hidden="1" customHeight="1" outlineLevel="1" x14ac:dyDescent="0.25">
      <c r="B375" s="63" t="str">
        <f>BalSheet!B94</f>
        <v>Biz2</v>
      </c>
      <c r="C375" s="154"/>
      <c r="D375" s="64">
        <f>BalSheet!D94</f>
        <v>0</v>
      </c>
      <c r="E375" s="64">
        <f>BalSheet!E94</f>
        <v>0</v>
      </c>
      <c r="F375" s="64">
        <f>BalSheet!F94</f>
        <v>0</v>
      </c>
      <c r="G375" s="64">
        <f>BalSheet!G94</f>
        <v>0</v>
      </c>
      <c r="H375" s="64">
        <f>BalSheet!H94</f>
        <v>0</v>
      </c>
      <c r="I375" s="64">
        <f>BalSheet!I94</f>
        <v>0</v>
      </c>
      <c r="J375" s="64">
        <f>BalSheet!J94</f>
        <v>0</v>
      </c>
      <c r="K375" s="64">
        <f>BalSheet!K94</f>
        <v>0</v>
      </c>
      <c r="L375" s="64">
        <f>BalSheet!L94</f>
        <v>0</v>
      </c>
      <c r="M375" s="64">
        <f>BalSheet!M94</f>
        <v>0</v>
      </c>
      <c r="N375" s="64">
        <f>BalSheet!N94</f>
        <v>0</v>
      </c>
      <c r="O375" s="64">
        <f>BalSheet!O94</f>
        <v>0</v>
      </c>
      <c r="P375" s="64">
        <f>BalSheet!P94</f>
        <v>0</v>
      </c>
      <c r="Q375" s="64">
        <f>BalSheet!Q94</f>
        <v>0</v>
      </c>
      <c r="R375" s="59"/>
    </row>
    <row r="376" spans="2:18" s="63" customFormat="1" ht="14.45" hidden="1" customHeight="1" outlineLevel="1" x14ac:dyDescent="0.25">
      <c r="B376" s="63" t="str">
        <f>BalSheet!B95</f>
        <v>CORP</v>
      </c>
      <c r="C376" s="154"/>
      <c r="D376" s="64">
        <f>BalSheet!D95</f>
        <v>0</v>
      </c>
      <c r="E376" s="64">
        <f>BalSheet!E95</f>
        <v>0</v>
      </c>
      <c r="F376" s="64">
        <f>BalSheet!F95</f>
        <v>0</v>
      </c>
      <c r="G376" s="64">
        <f>BalSheet!G95</f>
        <v>0</v>
      </c>
      <c r="H376" s="64">
        <f>BalSheet!H95</f>
        <v>0</v>
      </c>
      <c r="I376" s="64">
        <f>BalSheet!I95</f>
        <v>0</v>
      </c>
      <c r="J376" s="64">
        <f>BalSheet!J95</f>
        <v>0</v>
      </c>
      <c r="K376" s="64">
        <f>BalSheet!K95</f>
        <v>0</v>
      </c>
      <c r="L376" s="64">
        <f>BalSheet!L95</f>
        <v>0</v>
      </c>
      <c r="M376" s="64">
        <f>BalSheet!M95</f>
        <v>0</v>
      </c>
      <c r="N376" s="64">
        <f>BalSheet!N95</f>
        <v>0</v>
      </c>
      <c r="O376" s="64">
        <f>BalSheet!O95</f>
        <v>0</v>
      </c>
      <c r="P376" s="64">
        <f>BalSheet!P95</f>
        <v>0</v>
      </c>
      <c r="Q376" s="64">
        <f>BalSheet!Q95</f>
        <v>0</v>
      </c>
      <c r="R376" s="59"/>
    </row>
    <row r="377" spans="2:18" s="63" customFormat="1" ht="14.45" hidden="1" customHeight="1" outlineLevel="1" x14ac:dyDescent="0.25">
      <c r="C377" s="152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  <c r="O377" s="64"/>
      <c r="P377" s="64"/>
      <c r="Q377" s="64"/>
      <c r="R377" s="59"/>
    </row>
    <row r="378" spans="2:18" s="66" customFormat="1" ht="14.45" hidden="1" customHeight="1" outlineLevel="1" collapsed="1" x14ac:dyDescent="0.25">
      <c r="B378" s="66" t="s">
        <v>114</v>
      </c>
      <c r="C378" s="155"/>
      <c r="D378" s="156">
        <f t="shared" ref="D378:Q378" si="129">SUM(D379:D381)</f>
        <v>179544.86843504239</v>
      </c>
      <c r="E378" s="156">
        <f t="shared" si="129"/>
        <v>102255.75130496221</v>
      </c>
      <c r="F378" s="156">
        <f t="shared" si="129"/>
        <v>75771.35563763247</v>
      </c>
      <c r="G378" s="156">
        <f t="shared" si="129"/>
        <v>171715.5406614005</v>
      </c>
      <c r="H378" s="156">
        <f t="shared" si="129"/>
        <v>187116.27266718989</v>
      </c>
      <c r="I378" s="156">
        <f t="shared" si="129"/>
        <v>174770.85223601974</v>
      </c>
      <c r="J378" s="156">
        <f t="shared" si="129"/>
        <v>174770.85223601974</v>
      </c>
      <c r="K378" s="156">
        <f t="shared" si="129"/>
        <v>174770.85223601974</v>
      </c>
      <c r="L378" s="156">
        <f t="shared" si="129"/>
        <v>174770.85223601974</v>
      </c>
      <c r="M378" s="156">
        <f t="shared" si="129"/>
        <v>195552.3017644347</v>
      </c>
      <c r="N378" s="156">
        <f t="shared" si="129"/>
        <v>222972.46224049694</v>
      </c>
      <c r="O378" s="156">
        <f t="shared" si="129"/>
        <v>230919.80038259504</v>
      </c>
      <c r="P378" s="156">
        <f t="shared" si="129"/>
        <v>227774.97496395922</v>
      </c>
      <c r="Q378" s="156">
        <f t="shared" si="129"/>
        <v>221153.5444664814</v>
      </c>
      <c r="R378" s="59"/>
    </row>
    <row r="379" spans="2:18" s="63" customFormat="1" ht="14.45" hidden="1" customHeight="1" outlineLevel="1" x14ac:dyDescent="0.25">
      <c r="B379" s="63" t="str">
        <f>BalSheet!B88</f>
        <v>Biz1</v>
      </c>
      <c r="C379" s="154"/>
      <c r="D379" s="64">
        <f t="shared" ref="D379:Q379" si="130">SUM(D354,D359,D364,D369,D374)</f>
        <v>102615.18121572719</v>
      </c>
      <c r="E379" s="64">
        <f t="shared" si="130"/>
        <v>51160.967104551964</v>
      </c>
      <c r="F379" s="64">
        <f t="shared" si="130"/>
        <v>47068.821799283149</v>
      </c>
      <c r="G379" s="64">
        <f t="shared" si="130"/>
        <v>149577.22569098306</v>
      </c>
      <c r="H379" s="64">
        <f t="shared" si="130"/>
        <v>157681.25647647539</v>
      </c>
      <c r="I379" s="64">
        <f t="shared" si="130"/>
        <v>146470.83604530524</v>
      </c>
      <c r="J379" s="64">
        <f t="shared" si="130"/>
        <v>146470.83604530524</v>
      </c>
      <c r="K379" s="64">
        <f t="shared" si="130"/>
        <v>146470.83604530524</v>
      </c>
      <c r="L379" s="64">
        <f t="shared" si="130"/>
        <v>146470.83604530524</v>
      </c>
      <c r="M379" s="64">
        <f t="shared" si="130"/>
        <v>164299.56222998162</v>
      </c>
      <c r="N379" s="64">
        <f t="shared" si="130"/>
        <v>190263.63157132105</v>
      </c>
      <c r="O379" s="64">
        <f t="shared" si="130"/>
        <v>197138.02149944811</v>
      </c>
      <c r="P379" s="64">
        <f t="shared" si="130"/>
        <v>193667.76485401826</v>
      </c>
      <c r="Q379" s="64">
        <f t="shared" si="130"/>
        <v>187384.6042715552</v>
      </c>
      <c r="R379" s="59"/>
    </row>
    <row r="380" spans="2:18" s="63" customFormat="1" ht="14.45" hidden="1" customHeight="1" outlineLevel="1" x14ac:dyDescent="0.25">
      <c r="B380" s="63" t="str">
        <f>BalSheet!B89</f>
        <v>Biz2</v>
      </c>
      <c r="C380" s="154"/>
      <c r="D380" s="64">
        <f t="shared" ref="D380:Q380" si="131">SUM(D355,D360,D365,D370,D375)</f>
        <v>55006.187219315187</v>
      </c>
      <c r="E380" s="64">
        <f t="shared" si="131"/>
        <v>30006.784200410249</v>
      </c>
      <c r="F380" s="64">
        <f t="shared" si="131"/>
        <v>25289.43383834932</v>
      </c>
      <c r="G380" s="64">
        <f t="shared" si="131"/>
        <v>19359.639970417462</v>
      </c>
      <c r="H380" s="64">
        <f t="shared" si="131"/>
        <v>27077.781812157154</v>
      </c>
      <c r="I380" s="64">
        <f t="shared" si="131"/>
        <v>25942.781812157154</v>
      </c>
      <c r="J380" s="64">
        <f t="shared" si="131"/>
        <v>25942.781812157154</v>
      </c>
      <c r="K380" s="64">
        <f t="shared" si="131"/>
        <v>25942.781812157154</v>
      </c>
      <c r="L380" s="64">
        <f t="shared" si="131"/>
        <v>25942.781812157154</v>
      </c>
      <c r="M380" s="64">
        <f t="shared" si="131"/>
        <v>28622.00541004938</v>
      </c>
      <c r="N380" s="64">
        <f t="shared" si="131"/>
        <v>29685.827051907025</v>
      </c>
      <c r="O380" s="64">
        <f t="shared" si="131"/>
        <v>30553.682886737948</v>
      </c>
      <c r="P380" s="64">
        <f t="shared" si="131"/>
        <v>30879.114113531989</v>
      </c>
      <c r="Q380" s="64">
        <f t="shared" si="131"/>
        <v>30540.844198517207</v>
      </c>
      <c r="R380" s="59"/>
    </row>
    <row r="381" spans="2:18" s="63" customFormat="1" ht="14.45" hidden="1" customHeight="1" outlineLevel="1" x14ac:dyDescent="0.25">
      <c r="B381" s="63" t="str">
        <f>BalSheet!B90</f>
        <v>CORP</v>
      </c>
      <c r="C381" s="154"/>
      <c r="D381" s="64">
        <f t="shared" ref="D381:Q381" si="132">SUM(D356,D361,D366,D371,D376)</f>
        <v>21923.5</v>
      </c>
      <c r="E381" s="64">
        <f t="shared" si="132"/>
        <v>21088</v>
      </c>
      <c r="F381" s="64">
        <f t="shared" si="132"/>
        <v>3413.1</v>
      </c>
      <c r="G381" s="64">
        <f t="shared" si="132"/>
        <v>2778.6749999999997</v>
      </c>
      <c r="H381" s="64">
        <f t="shared" si="132"/>
        <v>2357.2343785573216</v>
      </c>
      <c r="I381" s="64">
        <f t="shared" si="132"/>
        <v>2357.2343785573216</v>
      </c>
      <c r="J381" s="64">
        <f t="shared" si="132"/>
        <v>2357.2343785573216</v>
      </c>
      <c r="K381" s="64">
        <f t="shared" si="132"/>
        <v>2357.2343785573216</v>
      </c>
      <c r="L381" s="64">
        <f t="shared" si="132"/>
        <v>2357.2343785573216</v>
      </c>
      <c r="M381" s="64">
        <f t="shared" si="132"/>
        <v>2630.7341244037143</v>
      </c>
      <c r="N381" s="64">
        <f t="shared" si="132"/>
        <v>3023.0036172688774</v>
      </c>
      <c r="O381" s="64">
        <f t="shared" si="132"/>
        <v>3228.095996408993</v>
      </c>
      <c r="P381" s="64">
        <f t="shared" si="132"/>
        <v>3228.095996408993</v>
      </c>
      <c r="Q381" s="64">
        <f t="shared" si="132"/>
        <v>3228.095996408993</v>
      </c>
      <c r="R381" s="59"/>
    </row>
    <row r="382" spans="2:18" s="63" customFormat="1" ht="14.45" hidden="1" customHeight="1" outlineLevel="1" x14ac:dyDescent="0.25">
      <c r="C382" s="152"/>
      <c r="D382" s="64"/>
      <c r="E382" s="64"/>
      <c r="F382" s="64"/>
      <c r="G382" s="64"/>
      <c r="H382" s="64"/>
      <c r="I382" s="64"/>
      <c r="J382" s="64"/>
      <c r="K382" s="64"/>
      <c r="L382" s="64"/>
      <c r="M382" s="64"/>
      <c r="N382" s="64"/>
      <c r="O382" s="64"/>
      <c r="P382" s="64"/>
      <c r="Q382" s="64"/>
      <c r="R382" s="59"/>
    </row>
    <row r="383" spans="2:18" s="63" customFormat="1" ht="14.45" hidden="1" customHeight="1" outlineLevel="1" collapsed="1" x14ac:dyDescent="0.25">
      <c r="B383" s="63" t="str">
        <f>BalSheet!B97</f>
        <v>Notes payable</v>
      </c>
      <c r="C383" s="153"/>
      <c r="D383" s="160">
        <f>BalSheet!D97</f>
        <v>306750</v>
      </c>
      <c r="E383" s="159">
        <f>BalSheet!E97</f>
        <v>306750</v>
      </c>
      <c r="F383" s="159">
        <f>BalSheet!F97</f>
        <v>308166</v>
      </c>
      <c r="G383" s="159">
        <f>BalSheet!G97</f>
        <v>307762</v>
      </c>
      <c r="H383" s="159">
        <f>BalSheet!H97</f>
        <v>235608</v>
      </c>
      <c r="I383" s="159">
        <f>BalSheet!I97</f>
        <v>235608</v>
      </c>
      <c r="J383" s="159">
        <f>BalSheet!J97</f>
        <v>235608</v>
      </c>
      <c r="K383" s="159">
        <f>BalSheet!K97</f>
        <v>235608</v>
      </c>
      <c r="L383" s="159">
        <f>BalSheet!L97</f>
        <v>235608</v>
      </c>
      <c r="M383" s="159">
        <f>BalSheet!M97</f>
        <v>235204</v>
      </c>
      <c r="N383" s="159">
        <f>BalSheet!N97</f>
        <v>234999.663</v>
      </c>
      <c r="O383" s="159">
        <f>BalSheet!O97</f>
        <v>234999.663</v>
      </c>
      <c r="P383" s="159">
        <f>BalSheet!P97</f>
        <v>235000</v>
      </c>
      <c r="Q383" s="159">
        <f>BalSheet!Q97</f>
        <v>235000</v>
      </c>
      <c r="R383" s="59"/>
    </row>
    <row r="384" spans="2:18" s="63" customFormat="1" ht="14.45" hidden="1" customHeight="1" outlineLevel="1" x14ac:dyDescent="0.25">
      <c r="B384" s="63" t="str">
        <f>BalSheet!B98</f>
        <v>Biz1</v>
      </c>
      <c r="C384" s="154"/>
      <c r="D384" s="64">
        <f>BalSheet!D98</f>
        <v>0</v>
      </c>
      <c r="E384" s="64">
        <f>BalSheet!E98</f>
        <v>0</v>
      </c>
      <c r="F384" s="64">
        <f>BalSheet!F98</f>
        <v>1416</v>
      </c>
      <c r="G384" s="64">
        <f>BalSheet!G98</f>
        <v>1012</v>
      </c>
      <c r="H384" s="64">
        <f>BalSheet!H98</f>
        <v>608</v>
      </c>
      <c r="I384" s="64">
        <f>BalSheet!I98</f>
        <v>608</v>
      </c>
      <c r="J384" s="64">
        <f>BalSheet!J98</f>
        <v>608</v>
      </c>
      <c r="K384" s="64">
        <f>BalSheet!K98</f>
        <v>608</v>
      </c>
      <c r="L384" s="64">
        <f>BalSheet!L98</f>
        <v>608</v>
      </c>
      <c r="M384" s="64">
        <f>BalSheet!M98</f>
        <v>204</v>
      </c>
      <c r="N384" s="64">
        <f>BalSheet!N98</f>
        <v>-0.33699999999998909</v>
      </c>
      <c r="O384" s="64">
        <f>BalSheet!O98</f>
        <v>-0.33699999999998909</v>
      </c>
      <c r="P384" s="64">
        <f>BalSheet!P98</f>
        <v>0</v>
      </c>
      <c r="Q384" s="64">
        <f>BalSheet!Q98</f>
        <v>0</v>
      </c>
      <c r="R384" s="59"/>
    </row>
    <row r="385" spans="1:18" s="63" customFormat="1" ht="14.45" hidden="1" customHeight="1" outlineLevel="1" x14ac:dyDescent="0.25">
      <c r="B385" s="63" t="str">
        <f>BalSheet!B99</f>
        <v>Biz2</v>
      </c>
      <c r="C385" s="154"/>
      <c r="D385" s="64">
        <f>BalSheet!D99</f>
        <v>0</v>
      </c>
      <c r="E385" s="64">
        <f>BalSheet!E99</f>
        <v>0</v>
      </c>
      <c r="F385" s="64">
        <f>BalSheet!F99</f>
        <v>0</v>
      </c>
      <c r="G385" s="64">
        <f>BalSheet!G99</f>
        <v>0</v>
      </c>
      <c r="H385" s="64">
        <f>BalSheet!H99</f>
        <v>0</v>
      </c>
      <c r="I385" s="64">
        <f>BalSheet!I99</f>
        <v>0</v>
      </c>
      <c r="J385" s="64">
        <f>BalSheet!J99</f>
        <v>0</v>
      </c>
      <c r="K385" s="64">
        <f>BalSheet!K99</f>
        <v>0</v>
      </c>
      <c r="L385" s="64">
        <f>BalSheet!L99</f>
        <v>0</v>
      </c>
      <c r="M385" s="64">
        <f>BalSheet!M99</f>
        <v>0</v>
      </c>
      <c r="N385" s="64">
        <f>BalSheet!N99</f>
        <v>0</v>
      </c>
      <c r="O385" s="64">
        <f>BalSheet!O99</f>
        <v>0</v>
      </c>
      <c r="P385" s="64">
        <f>BalSheet!P99</f>
        <v>0</v>
      </c>
      <c r="Q385" s="64">
        <f>BalSheet!Q99</f>
        <v>0</v>
      </c>
      <c r="R385" s="59"/>
    </row>
    <row r="386" spans="1:18" s="63" customFormat="1" ht="14.45" hidden="1" customHeight="1" outlineLevel="1" x14ac:dyDescent="0.25">
      <c r="B386" s="63" t="str">
        <f>BalSheet!B100</f>
        <v>CORP</v>
      </c>
      <c r="C386" s="154"/>
      <c r="D386" s="64">
        <f>BalSheet!D100</f>
        <v>306750</v>
      </c>
      <c r="E386" s="64">
        <f>BalSheet!E100</f>
        <v>306750</v>
      </c>
      <c r="F386" s="64">
        <f>BalSheet!F100</f>
        <v>306750</v>
      </c>
      <c r="G386" s="64">
        <f>BalSheet!G100</f>
        <v>306750</v>
      </c>
      <c r="H386" s="64">
        <f>BalSheet!H100</f>
        <v>235000</v>
      </c>
      <c r="I386" s="64">
        <f>BalSheet!I100</f>
        <v>235000</v>
      </c>
      <c r="J386" s="64">
        <f>BalSheet!J100</f>
        <v>235000</v>
      </c>
      <c r="K386" s="64">
        <f>BalSheet!K100</f>
        <v>235000</v>
      </c>
      <c r="L386" s="64">
        <f>BalSheet!L100</f>
        <v>235000</v>
      </c>
      <c r="M386" s="64">
        <f>BalSheet!M100</f>
        <v>235000</v>
      </c>
      <c r="N386" s="64">
        <f>BalSheet!N100</f>
        <v>235000</v>
      </c>
      <c r="O386" s="64">
        <f>BalSheet!O100</f>
        <v>235000</v>
      </c>
      <c r="P386" s="64">
        <f>BalSheet!P100</f>
        <v>235000</v>
      </c>
      <c r="Q386" s="64">
        <f>BalSheet!Q100</f>
        <v>235000</v>
      </c>
      <c r="R386" s="59"/>
    </row>
    <row r="387" spans="1:18" s="63" customFormat="1" ht="14.45" hidden="1" customHeight="1" outlineLevel="1" x14ac:dyDescent="0.25">
      <c r="C387" s="152"/>
      <c r="D387" s="64"/>
      <c r="E387" s="64"/>
      <c r="F387" s="64"/>
      <c r="G387" s="64"/>
      <c r="H387" s="64"/>
      <c r="I387" s="64"/>
      <c r="J387" s="64"/>
      <c r="K387" s="64"/>
      <c r="L387" s="64"/>
      <c r="M387" s="64"/>
      <c r="N387" s="64"/>
      <c r="O387" s="64"/>
      <c r="P387" s="64"/>
      <c r="Q387" s="64"/>
      <c r="R387" s="59"/>
    </row>
    <row r="388" spans="1:18" s="63" customFormat="1" ht="14.45" hidden="1" customHeight="1" outlineLevel="1" x14ac:dyDescent="0.25">
      <c r="B388" s="132" t="str">
        <f>BalSheet!B102</f>
        <v>Other liabilities</v>
      </c>
      <c r="C388" s="153"/>
      <c r="D388" s="160">
        <f>BalSheet!D102</f>
        <v>0</v>
      </c>
      <c r="E388" s="159">
        <f>BalSheet!E102</f>
        <v>0</v>
      </c>
      <c r="F388" s="159">
        <f>BalSheet!F102</f>
        <v>0</v>
      </c>
      <c r="G388" s="159">
        <f>BalSheet!G102</f>
        <v>0</v>
      </c>
      <c r="H388" s="159">
        <f>BalSheet!H102</f>
        <v>0</v>
      </c>
      <c r="I388" s="159">
        <f>BalSheet!I102</f>
        <v>0</v>
      </c>
      <c r="J388" s="159">
        <f>BalSheet!J102</f>
        <v>0</v>
      </c>
      <c r="K388" s="159">
        <f>BalSheet!K102</f>
        <v>0</v>
      </c>
      <c r="L388" s="159">
        <f>BalSheet!L102</f>
        <v>0</v>
      </c>
      <c r="M388" s="159">
        <f>BalSheet!M102</f>
        <v>0</v>
      </c>
      <c r="N388" s="159">
        <f>BalSheet!N102</f>
        <v>0</v>
      </c>
      <c r="O388" s="159">
        <f>BalSheet!O102</f>
        <v>0</v>
      </c>
      <c r="P388" s="159">
        <f>BalSheet!P102</f>
        <v>0</v>
      </c>
      <c r="Q388" s="159">
        <f>BalSheet!Q102</f>
        <v>0</v>
      </c>
      <c r="R388" s="59"/>
    </row>
    <row r="389" spans="1:18" s="63" customFormat="1" ht="14.45" hidden="1" customHeight="1" outlineLevel="1" x14ac:dyDescent="0.25">
      <c r="B389" s="63" t="str">
        <f>BalSheet!B103</f>
        <v>Biz1</v>
      </c>
      <c r="C389" s="154"/>
      <c r="D389" s="64">
        <f>BalSheet!D103</f>
        <v>0</v>
      </c>
      <c r="E389" s="64">
        <f>BalSheet!E103</f>
        <v>0</v>
      </c>
      <c r="F389" s="64">
        <f>BalSheet!F103</f>
        <v>0</v>
      </c>
      <c r="G389" s="64">
        <f>BalSheet!G103</f>
        <v>0</v>
      </c>
      <c r="H389" s="64">
        <f>BalSheet!H103</f>
        <v>0</v>
      </c>
      <c r="I389" s="64">
        <f>BalSheet!I103</f>
        <v>0</v>
      </c>
      <c r="J389" s="64">
        <f>BalSheet!J103</f>
        <v>0</v>
      </c>
      <c r="K389" s="64">
        <f>BalSheet!K103</f>
        <v>0</v>
      </c>
      <c r="L389" s="64">
        <f>BalSheet!L103</f>
        <v>0</v>
      </c>
      <c r="M389" s="64">
        <f>BalSheet!M103</f>
        <v>0</v>
      </c>
      <c r="N389" s="64">
        <f>BalSheet!N103</f>
        <v>0</v>
      </c>
      <c r="O389" s="64">
        <f>BalSheet!O103</f>
        <v>0</v>
      </c>
      <c r="P389" s="64">
        <f>BalSheet!P103</f>
        <v>0</v>
      </c>
      <c r="Q389" s="64">
        <f>BalSheet!Q103</f>
        <v>0</v>
      </c>
      <c r="R389" s="59"/>
    </row>
    <row r="390" spans="1:18" s="63" customFormat="1" ht="14.45" hidden="1" customHeight="1" outlineLevel="1" x14ac:dyDescent="0.25">
      <c r="B390" s="63" t="str">
        <f>BalSheet!B104</f>
        <v>Biz2</v>
      </c>
      <c r="C390" s="154"/>
      <c r="D390" s="64">
        <f>BalSheet!D104</f>
        <v>0</v>
      </c>
      <c r="E390" s="64">
        <f>BalSheet!E104</f>
        <v>0</v>
      </c>
      <c r="F390" s="64">
        <f>BalSheet!F104</f>
        <v>0</v>
      </c>
      <c r="G390" s="64">
        <f>BalSheet!G104</f>
        <v>0</v>
      </c>
      <c r="H390" s="64">
        <f>BalSheet!H104</f>
        <v>0</v>
      </c>
      <c r="I390" s="64">
        <f>BalSheet!I104</f>
        <v>0</v>
      </c>
      <c r="J390" s="64">
        <f>BalSheet!J104</f>
        <v>0</v>
      </c>
      <c r="K390" s="64">
        <f>BalSheet!K104</f>
        <v>0</v>
      </c>
      <c r="L390" s="64">
        <f>BalSheet!L104</f>
        <v>0</v>
      </c>
      <c r="M390" s="64">
        <f>BalSheet!M104</f>
        <v>0</v>
      </c>
      <c r="N390" s="64">
        <f>BalSheet!N104</f>
        <v>0</v>
      </c>
      <c r="O390" s="64">
        <f>BalSheet!O104</f>
        <v>0</v>
      </c>
      <c r="P390" s="64">
        <f>BalSheet!P104</f>
        <v>0</v>
      </c>
      <c r="Q390" s="64">
        <f>BalSheet!Q104</f>
        <v>0</v>
      </c>
      <c r="R390" s="59"/>
    </row>
    <row r="391" spans="1:18" s="63" customFormat="1" ht="14.45" hidden="1" customHeight="1" outlineLevel="1" x14ac:dyDescent="0.25">
      <c r="B391" s="63" t="str">
        <f>BalSheet!B105</f>
        <v>CORP</v>
      </c>
      <c r="C391" s="154"/>
      <c r="D391" s="64">
        <f>BalSheet!D105</f>
        <v>0</v>
      </c>
      <c r="E391" s="64">
        <f>BalSheet!E105</f>
        <v>0</v>
      </c>
      <c r="F391" s="64">
        <f>BalSheet!F105</f>
        <v>0</v>
      </c>
      <c r="G391" s="64">
        <f>BalSheet!G105</f>
        <v>0</v>
      </c>
      <c r="H391" s="64">
        <f>BalSheet!H105</f>
        <v>0</v>
      </c>
      <c r="I391" s="64">
        <f>BalSheet!I105</f>
        <v>0</v>
      </c>
      <c r="J391" s="64">
        <f>BalSheet!J105</f>
        <v>0</v>
      </c>
      <c r="K391" s="64">
        <f>BalSheet!K105</f>
        <v>0</v>
      </c>
      <c r="L391" s="64">
        <f>BalSheet!L105</f>
        <v>0</v>
      </c>
      <c r="M391" s="64">
        <f>BalSheet!M105</f>
        <v>0</v>
      </c>
      <c r="N391" s="64">
        <f>BalSheet!N105</f>
        <v>0</v>
      </c>
      <c r="O391" s="64">
        <f>BalSheet!O105</f>
        <v>0</v>
      </c>
      <c r="P391" s="64">
        <f>BalSheet!P105</f>
        <v>0</v>
      </c>
      <c r="Q391" s="64">
        <f>BalSheet!Q105</f>
        <v>0</v>
      </c>
      <c r="R391" s="59"/>
    </row>
    <row r="392" spans="1:18" s="63" customFormat="1" ht="14.45" hidden="1" customHeight="1" outlineLevel="1" x14ac:dyDescent="0.25">
      <c r="C392" s="152"/>
      <c r="D392" s="64"/>
      <c r="E392" s="64"/>
      <c r="F392" s="64"/>
      <c r="G392" s="64"/>
      <c r="H392" s="64"/>
      <c r="I392" s="64"/>
      <c r="J392" s="64"/>
      <c r="K392" s="64"/>
      <c r="L392" s="64"/>
      <c r="M392" s="64"/>
      <c r="N392" s="64"/>
      <c r="O392" s="64"/>
      <c r="P392" s="64"/>
      <c r="Q392" s="64"/>
      <c r="R392" s="59"/>
    </row>
    <row r="393" spans="1:18" s="66" customFormat="1" ht="14.45" hidden="1" customHeight="1" outlineLevel="1" x14ac:dyDescent="0.25">
      <c r="A393" s="66" t="str">
        <f>BalSheet!A107</f>
        <v>TOTAL LIABILITIES</v>
      </c>
      <c r="B393" s="132"/>
      <c r="C393" s="153"/>
      <c r="D393" s="67">
        <f>BalSheet!D107</f>
        <v>486294.86843504239</v>
      </c>
      <c r="E393" s="67">
        <f>BalSheet!E107</f>
        <v>409005.75130496221</v>
      </c>
      <c r="F393" s="67">
        <f>BalSheet!F107</f>
        <v>383937.35563763243</v>
      </c>
      <c r="G393" s="67">
        <f>BalSheet!G107</f>
        <v>479477.54066140053</v>
      </c>
      <c r="H393" s="67">
        <f>BalSheet!H107</f>
        <v>422724.27266718989</v>
      </c>
      <c r="I393" s="67">
        <f>BalSheet!I107</f>
        <v>410378.85223601974</v>
      </c>
      <c r="J393" s="67">
        <f>BalSheet!J107</f>
        <v>410378.85223601974</v>
      </c>
      <c r="K393" s="67">
        <f>BalSheet!K107</f>
        <v>410378.85223601974</v>
      </c>
      <c r="L393" s="67">
        <f>BalSheet!L107</f>
        <v>410378.85223601974</v>
      </c>
      <c r="M393" s="67">
        <f>BalSheet!M107</f>
        <v>430756.30176443467</v>
      </c>
      <c r="N393" s="67">
        <f>BalSheet!N107</f>
        <v>457972.12524049694</v>
      </c>
      <c r="O393" s="67">
        <f>BalSheet!O107</f>
        <v>465919.46338259504</v>
      </c>
      <c r="P393" s="67">
        <f>BalSheet!P107</f>
        <v>462774.97496395919</v>
      </c>
      <c r="Q393" s="67">
        <f>BalSheet!Q107</f>
        <v>456153.54446648143</v>
      </c>
      <c r="R393" s="59"/>
    </row>
    <row r="394" spans="1:18" s="63" customFormat="1" ht="14.45" hidden="1" customHeight="1" outlineLevel="1" x14ac:dyDescent="0.25">
      <c r="B394" s="63" t="str">
        <f>BalSheet!B108</f>
        <v>Biz1</v>
      </c>
      <c r="C394" s="154"/>
      <c r="D394" s="64">
        <f>BalSheet!D108</f>
        <v>102615.18121572719</v>
      </c>
      <c r="E394" s="64">
        <f>BalSheet!E108</f>
        <v>51160.967104551964</v>
      </c>
      <c r="F394" s="64">
        <f>BalSheet!F108</f>
        <v>48484.821799283149</v>
      </c>
      <c r="G394" s="64">
        <f>BalSheet!G108</f>
        <v>150589.22569098306</v>
      </c>
      <c r="H394" s="64">
        <f>BalSheet!H108</f>
        <v>158289.25647647539</v>
      </c>
      <c r="I394" s="64">
        <f>BalSheet!I108</f>
        <v>147078.83604530524</v>
      </c>
      <c r="J394" s="64">
        <f>BalSheet!J108</f>
        <v>147078.83604530524</v>
      </c>
      <c r="K394" s="64">
        <f>BalSheet!K108</f>
        <v>147078.83604530524</v>
      </c>
      <c r="L394" s="64">
        <f>BalSheet!L108</f>
        <v>147078.83604530524</v>
      </c>
      <c r="M394" s="64">
        <f>BalSheet!M108</f>
        <v>164503.56222998162</v>
      </c>
      <c r="N394" s="64">
        <f>BalSheet!N108</f>
        <v>190263.29457132105</v>
      </c>
      <c r="O394" s="64">
        <f>BalSheet!O108</f>
        <v>197137.68449944811</v>
      </c>
      <c r="P394" s="64">
        <f>BalSheet!P108</f>
        <v>193667.76485401826</v>
      </c>
      <c r="Q394" s="64">
        <f>BalSheet!Q108</f>
        <v>187384.6042715552</v>
      </c>
      <c r="R394" s="59"/>
    </row>
    <row r="395" spans="1:18" s="63" customFormat="1" ht="14.45" hidden="1" customHeight="1" outlineLevel="1" x14ac:dyDescent="0.25">
      <c r="B395" s="63" t="str">
        <f>BalSheet!B109</f>
        <v>Biz2</v>
      </c>
      <c r="C395" s="154"/>
      <c r="D395" s="64">
        <f>BalSheet!D109</f>
        <v>55006.187219315187</v>
      </c>
      <c r="E395" s="64">
        <f>BalSheet!E109</f>
        <v>30006.784200410249</v>
      </c>
      <c r="F395" s="64">
        <f>BalSheet!F109</f>
        <v>25289.43383834932</v>
      </c>
      <c r="G395" s="64">
        <f>BalSheet!G109</f>
        <v>19359.639970417462</v>
      </c>
      <c r="H395" s="64">
        <f>BalSheet!H109</f>
        <v>27077.781812157154</v>
      </c>
      <c r="I395" s="64">
        <f>BalSheet!I109</f>
        <v>25942.781812157154</v>
      </c>
      <c r="J395" s="64">
        <f>BalSheet!J109</f>
        <v>25942.781812157154</v>
      </c>
      <c r="K395" s="64">
        <f>BalSheet!K109</f>
        <v>25942.781812157154</v>
      </c>
      <c r="L395" s="64">
        <f>BalSheet!L109</f>
        <v>25942.781812157154</v>
      </c>
      <c r="M395" s="64">
        <f>BalSheet!M109</f>
        <v>28622.00541004938</v>
      </c>
      <c r="N395" s="64">
        <f>BalSheet!N109</f>
        <v>29685.827051907025</v>
      </c>
      <c r="O395" s="64">
        <f>BalSheet!O109</f>
        <v>30553.682886737948</v>
      </c>
      <c r="P395" s="64">
        <f>BalSheet!P109</f>
        <v>30879.114113531989</v>
      </c>
      <c r="Q395" s="64">
        <f>BalSheet!Q109</f>
        <v>30540.844198517207</v>
      </c>
      <c r="R395" s="59"/>
    </row>
    <row r="396" spans="1:18" s="63" customFormat="1" ht="14.45" hidden="1" customHeight="1" outlineLevel="1" x14ac:dyDescent="0.25">
      <c r="B396" s="63" t="str">
        <f>BalSheet!B110</f>
        <v>CORP</v>
      </c>
      <c r="C396" s="154"/>
      <c r="D396" s="64">
        <f>BalSheet!D110</f>
        <v>328673.5</v>
      </c>
      <c r="E396" s="64">
        <f>BalSheet!E110</f>
        <v>327838</v>
      </c>
      <c r="F396" s="64">
        <f>BalSheet!F110</f>
        <v>310163.09999999998</v>
      </c>
      <c r="G396" s="64">
        <f>BalSheet!G110</f>
        <v>309528.67499999999</v>
      </c>
      <c r="H396" s="64">
        <f>BalSheet!H110</f>
        <v>237357.23437855733</v>
      </c>
      <c r="I396" s="64">
        <f>BalSheet!I110</f>
        <v>237357.23437855733</v>
      </c>
      <c r="J396" s="64">
        <f>BalSheet!J110</f>
        <v>237357.23437855733</v>
      </c>
      <c r="K396" s="64">
        <f>BalSheet!K110</f>
        <v>237357.23437855733</v>
      </c>
      <c r="L396" s="64">
        <f>BalSheet!L110</f>
        <v>237357.23437855733</v>
      </c>
      <c r="M396" s="64">
        <f>BalSheet!M110</f>
        <v>237630.73412440371</v>
      </c>
      <c r="N396" s="64">
        <f>BalSheet!N110</f>
        <v>238023.00361726887</v>
      </c>
      <c r="O396" s="64">
        <f>BalSheet!O110</f>
        <v>238228.09599640899</v>
      </c>
      <c r="P396" s="64">
        <f>BalSheet!P110</f>
        <v>238228.09599640899</v>
      </c>
      <c r="Q396" s="64">
        <f>BalSheet!Q110</f>
        <v>238228.09599640899</v>
      </c>
      <c r="R396" s="59"/>
    </row>
    <row r="397" spans="1:18" s="63" customFormat="1" ht="14.45" hidden="1" customHeight="1" outlineLevel="1" x14ac:dyDescent="0.25">
      <c r="C397" s="152"/>
      <c r="H397" s="66"/>
      <c r="M397" s="66"/>
      <c r="N397" s="66"/>
      <c r="O397" s="66"/>
      <c r="P397" s="66"/>
      <c r="Q397" s="66"/>
      <c r="R397" s="59"/>
    </row>
    <row r="398" spans="1:18" s="63" customFormat="1" ht="14.45" hidden="1" customHeight="1" outlineLevel="1" collapsed="1" x14ac:dyDescent="0.25">
      <c r="A398" s="66" t="str">
        <f>BalSheet!A112</f>
        <v>EQUITY</v>
      </c>
      <c r="C398" s="152"/>
      <c r="D398" s="161"/>
      <c r="E398" s="161"/>
      <c r="F398" s="161"/>
      <c r="G398" s="162"/>
      <c r="H398" s="163"/>
      <c r="I398" s="164"/>
      <c r="J398" s="164"/>
      <c r="K398" s="164"/>
      <c r="L398" s="164"/>
      <c r="M398" s="163"/>
      <c r="N398" s="163"/>
      <c r="O398" s="163"/>
      <c r="P398" s="163"/>
      <c r="Q398" s="163"/>
      <c r="R398" s="59"/>
    </row>
    <row r="399" spans="1:18" s="63" customFormat="1" ht="14.45" hidden="1" customHeight="1" outlineLevel="1" x14ac:dyDescent="0.25">
      <c r="A399" s="132" t="str">
        <f>BalSheet!A113</f>
        <v>Company</v>
      </c>
      <c r="C399" s="152"/>
      <c r="D399" s="161"/>
      <c r="E399" s="161"/>
      <c r="F399" s="161"/>
      <c r="G399" s="162"/>
      <c r="H399" s="163"/>
      <c r="I399" s="164"/>
      <c r="J399" s="164"/>
      <c r="K399" s="164"/>
      <c r="L399" s="164"/>
      <c r="M399" s="163"/>
      <c r="N399" s="163"/>
      <c r="O399" s="163"/>
      <c r="P399" s="163"/>
      <c r="Q399" s="163"/>
      <c r="R399" s="59"/>
    </row>
    <row r="400" spans="1:18" s="63" customFormat="1" ht="14.45" hidden="1" customHeight="1" outlineLevel="1" x14ac:dyDescent="0.25">
      <c r="B400" s="63" t="str">
        <f>BalSheet!B114</f>
        <v>Preferred stock</v>
      </c>
      <c r="C400" s="153"/>
      <c r="D400" s="160">
        <f>BalSheet!D114</f>
        <v>0</v>
      </c>
      <c r="E400" s="159">
        <f>BalSheet!E114</f>
        <v>0</v>
      </c>
      <c r="F400" s="159">
        <f>BalSheet!F114</f>
        <v>0</v>
      </c>
      <c r="G400" s="159">
        <f>BalSheet!G114</f>
        <v>0</v>
      </c>
      <c r="H400" s="159">
        <f>BalSheet!H114</f>
        <v>0</v>
      </c>
      <c r="I400" s="159">
        <f>BalSheet!I114</f>
        <v>0</v>
      </c>
      <c r="J400" s="159">
        <f>BalSheet!J114</f>
        <v>0</v>
      </c>
      <c r="K400" s="159">
        <f>BalSheet!K114</f>
        <v>0</v>
      </c>
      <c r="L400" s="159">
        <f>BalSheet!L114</f>
        <v>0</v>
      </c>
      <c r="M400" s="159">
        <f>BalSheet!M114</f>
        <v>0</v>
      </c>
      <c r="N400" s="159">
        <f>BalSheet!N114</f>
        <v>0</v>
      </c>
      <c r="O400" s="159">
        <f>BalSheet!O114</f>
        <v>0</v>
      </c>
      <c r="P400" s="159">
        <f>BalSheet!P114</f>
        <v>0</v>
      </c>
      <c r="Q400" s="159">
        <f>BalSheet!Q114</f>
        <v>0</v>
      </c>
      <c r="R400" s="59"/>
    </row>
    <row r="401" spans="2:18" s="63" customFormat="1" ht="14.45" hidden="1" customHeight="1" outlineLevel="1" x14ac:dyDescent="0.25">
      <c r="B401" s="63" t="str">
        <f>BalSheet!B115</f>
        <v>Biz1</v>
      </c>
      <c r="C401" s="154"/>
      <c r="D401" s="64">
        <f>BalSheet!D115</f>
        <v>0</v>
      </c>
      <c r="E401" s="64">
        <f>BalSheet!E115</f>
        <v>0</v>
      </c>
      <c r="F401" s="64">
        <f>BalSheet!F115</f>
        <v>0</v>
      </c>
      <c r="G401" s="64">
        <f>BalSheet!G115</f>
        <v>0</v>
      </c>
      <c r="H401" s="64">
        <f>BalSheet!H115</f>
        <v>0</v>
      </c>
      <c r="I401" s="64">
        <f>BalSheet!I115</f>
        <v>0</v>
      </c>
      <c r="J401" s="64">
        <f>BalSheet!J115</f>
        <v>0</v>
      </c>
      <c r="K401" s="64">
        <f>BalSheet!K115</f>
        <v>0</v>
      </c>
      <c r="L401" s="64">
        <f>BalSheet!L115</f>
        <v>0</v>
      </c>
      <c r="M401" s="64">
        <f>BalSheet!M115</f>
        <v>0</v>
      </c>
      <c r="N401" s="64">
        <f>BalSheet!N115</f>
        <v>0</v>
      </c>
      <c r="O401" s="64">
        <f>BalSheet!O115</f>
        <v>0</v>
      </c>
      <c r="P401" s="64">
        <f>BalSheet!P115</f>
        <v>0</v>
      </c>
      <c r="Q401" s="64">
        <f>BalSheet!Q115</f>
        <v>0</v>
      </c>
      <c r="R401" s="59"/>
    </row>
    <row r="402" spans="2:18" s="63" customFormat="1" ht="14.45" hidden="1" customHeight="1" outlineLevel="1" x14ac:dyDescent="0.25">
      <c r="B402" s="63" t="str">
        <f>BalSheet!B116</f>
        <v>Biz2</v>
      </c>
      <c r="C402" s="154"/>
      <c r="D402" s="64">
        <f>BalSheet!D116</f>
        <v>0</v>
      </c>
      <c r="E402" s="64">
        <f>BalSheet!E116</f>
        <v>0</v>
      </c>
      <c r="F402" s="64">
        <f>BalSheet!F116</f>
        <v>0</v>
      </c>
      <c r="G402" s="64">
        <f>BalSheet!G116</f>
        <v>0</v>
      </c>
      <c r="H402" s="64">
        <f>BalSheet!H116</f>
        <v>0</v>
      </c>
      <c r="I402" s="64">
        <f>BalSheet!I116</f>
        <v>0</v>
      </c>
      <c r="J402" s="64">
        <f>BalSheet!J116</f>
        <v>0</v>
      </c>
      <c r="K402" s="64">
        <f>BalSheet!K116</f>
        <v>0</v>
      </c>
      <c r="L402" s="64">
        <f>BalSheet!L116</f>
        <v>0</v>
      </c>
      <c r="M402" s="64">
        <f>BalSheet!M116</f>
        <v>0</v>
      </c>
      <c r="N402" s="64">
        <f>BalSheet!N116</f>
        <v>0</v>
      </c>
      <c r="O402" s="64">
        <f>BalSheet!O116</f>
        <v>0</v>
      </c>
      <c r="P402" s="64">
        <f>BalSheet!P116</f>
        <v>0</v>
      </c>
      <c r="Q402" s="64">
        <f>BalSheet!Q116</f>
        <v>0</v>
      </c>
      <c r="R402" s="59"/>
    </row>
    <row r="403" spans="2:18" s="63" customFormat="1" ht="14.45" hidden="1" customHeight="1" outlineLevel="1" x14ac:dyDescent="0.25">
      <c r="B403" s="63" t="str">
        <f>BalSheet!B117</f>
        <v>CORP</v>
      </c>
      <c r="C403" s="154"/>
      <c r="D403" s="64">
        <f>BalSheet!D117</f>
        <v>0</v>
      </c>
      <c r="E403" s="64">
        <f>BalSheet!E117</f>
        <v>0</v>
      </c>
      <c r="F403" s="64">
        <f>BalSheet!F117</f>
        <v>0</v>
      </c>
      <c r="G403" s="64">
        <f>BalSheet!G117</f>
        <v>0</v>
      </c>
      <c r="H403" s="64">
        <f>BalSheet!H117</f>
        <v>0</v>
      </c>
      <c r="I403" s="64">
        <f>BalSheet!I117</f>
        <v>0</v>
      </c>
      <c r="J403" s="64">
        <f>BalSheet!J117</f>
        <v>0</v>
      </c>
      <c r="K403" s="64">
        <f>BalSheet!K117</f>
        <v>0</v>
      </c>
      <c r="L403" s="64">
        <f>BalSheet!L117</f>
        <v>0</v>
      </c>
      <c r="M403" s="64">
        <f>BalSheet!M117</f>
        <v>0</v>
      </c>
      <c r="N403" s="64">
        <f>BalSheet!N117</f>
        <v>0</v>
      </c>
      <c r="O403" s="64">
        <f>BalSheet!O117</f>
        <v>0</v>
      </c>
      <c r="P403" s="64">
        <f>BalSheet!P117</f>
        <v>0</v>
      </c>
      <c r="Q403" s="64">
        <f>BalSheet!Q117</f>
        <v>0</v>
      </c>
      <c r="R403" s="59"/>
    </row>
    <row r="404" spans="2:18" s="63" customFormat="1" ht="14.45" hidden="1" customHeight="1" outlineLevel="1" x14ac:dyDescent="0.25">
      <c r="C404" s="152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4"/>
      <c r="O404" s="64"/>
      <c r="P404" s="64"/>
      <c r="Q404" s="64"/>
      <c r="R404" s="59"/>
    </row>
    <row r="405" spans="2:18" s="63" customFormat="1" ht="14.45" hidden="1" customHeight="1" outlineLevel="1" x14ac:dyDescent="0.25">
      <c r="B405" s="63" t="str">
        <f>BalSheet!B119</f>
        <v>Common stock</v>
      </c>
      <c r="C405" s="153"/>
      <c r="D405" s="160">
        <f>BalSheet!D119</f>
        <v>16.5</v>
      </c>
      <c r="E405" s="159">
        <f>BalSheet!E119</f>
        <v>17</v>
      </c>
      <c r="F405" s="159">
        <f>BalSheet!F119</f>
        <v>22</v>
      </c>
      <c r="G405" s="159">
        <f>BalSheet!G119</f>
        <v>25.514297429755331</v>
      </c>
      <c r="H405" s="159">
        <f>BalSheet!H119</f>
        <v>25.503889893930406</v>
      </c>
      <c r="I405" s="159">
        <f>BalSheet!I119</f>
        <v>25.503889893930406</v>
      </c>
      <c r="J405" s="159">
        <f>BalSheet!J119</f>
        <v>25.503889893930406</v>
      </c>
      <c r="K405" s="159">
        <f>BalSheet!K119</f>
        <v>25.503889893930406</v>
      </c>
      <c r="L405" s="159">
        <f>BalSheet!L119</f>
        <v>25.505889894025401</v>
      </c>
      <c r="M405" s="159">
        <f>BalSheet!M119</f>
        <v>25.505889894025401</v>
      </c>
      <c r="N405" s="159">
        <f>BalSheet!N119</f>
        <v>25.505889894258232</v>
      </c>
      <c r="O405" s="159">
        <f>BalSheet!O119</f>
        <v>25.505889894491062</v>
      </c>
      <c r="P405" s="159">
        <f>BalSheet!P119</f>
        <v>25.505889894491062</v>
      </c>
      <c r="Q405" s="159">
        <f>BalSheet!Q119</f>
        <v>25.505889894491062</v>
      </c>
      <c r="R405" s="59"/>
    </row>
    <row r="406" spans="2:18" s="63" customFormat="1" ht="14.45" hidden="1" customHeight="1" outlineLevel="1" x14ac:dyDescent="0.25">
      <c r="B406" s="63" t="str">
        <f>BalSheet!B120</f>
        <v>Biz1</v>
      </c>
      <c r="C406" s="154"/>
      <c r="D406" s="64">
        <f>BalSheet!D120</f>
        <v>0</v>
      </c>
      <c r="E406" s="64">
        <f>BalSheet!E120</f>
        <v>0</v>
      </c>
      <c r="F406" s="64">
        <f>BalSheet!F120</f>
        <v>0</v>
      </c>
      <c r="G406" s="64">
        <f>BalSheet!G120</f>
        <v>0</v>
      </c>
      <c r="H406" s="64">
        <f>BalSheet!H120</f>
        <v>0</v>
      </c>
      <c r="I406" s="64">
        <f>BalSheet!I120</f>
        <v>0</v>
      </c>
      <c r="J406" s="64">
        <f>BalSheet!J120</f>
        <v>0</v>
      </c>
      <c r="K406" s="64">
        <f>BalSheet!K120</f>
        <v>0</v>
      </c>
      <c r="L406" s="64">
        <f>BalSheet!L120</f>
        <v>0</v>
      </c>
      <c r="M406" s="64">
        <f>BalSheet!M120</f>
        <v>0</v>
      </c>
      <c r="N406" s="64">
        <f>BalSheet!N120</f>
        <v>0</v>
      </c>
      <c r="O406" s="64">
        <f>BalSheet!O120</f>
        <v>0</v>
      </c>
      <c r="P406" s="64">
        <f>BalSheet!P120</f>
        <v>0</v>
      </c>
      <c r="Q406" s="64">
        <f>BalSheet!Q120</f>
        <v>0</v>
      </c>
      <c r="R406" s="59"/>
    </row>
    <row r="407" spans="2:18" s="63" customFormat="1" ht="14.45" hidden="1" customHeight="1" outlineLevel="1" x14ac:dyDescent="0.25">
      <c r="B407" s="63" t="str">
        <f>BalSheet!B121</f>
        <v>Biz2</v>
      </c>
      <c r="C407" s="154"/>
      <c r="D407" s="64">
        <f>BalSheet!D121</f>
        <v>0</v>
      </c>
      <c r="E407" s="64">
        <f>BalSheet!E121</f>
        <v>0</v>
      </c>
      <c r="F407" s="64">
        <f>BalSheet!F121</f>
        <v>0</v>
      </c>
      <c r="G407" s="64">
        <f>BalSheet!G121</f>
        <v>0</v>
      </c>
      <c r="H407" s="64">
        <f>BalSheet!H121</f>
        <v>0</v>
      </c>
      <c r="I407" s="64">
        <f>BalSheet!I121</f>
        <v>0</v>
      </c>
      <c r="J407" s="64">
        <f>BalSheet!J121</f>
        <v>0</v>
      </c>
      <c r="K407" s="64">
        <f>BalSheet!K121</f>
        <v>0</v>
      </c>
      <c r="L407" s="64">
        <f>BalSheet!L121</f>
        <v>0</v>
      </c>
      <c r="M407" s="64">
        <f>BalSheet!M121</f>
        <v>0</v>
      </c>
      <c r="N407" s="64">
        <f>BalSheet!N121</f>
        <v>0</v>
      </c>
      <c r="O407" s="64">
        <f>BalSheet!O121</f>
        <v>0</v>
      </c>
      <c r="P407" s="64">
        <f>BalSheet!P121</f>
        <v>0</v>
      </c>
      <c r="Q407" s="64">
        <f>BalSheet!Q121</f>
        <v>0</v>
      </c>
      <c r="R407" s="59"/>
    </row>
    <row r="408" spans="2:18" s="63" customFormat="1" ht="14.45" hidden="1" customHeight="1" outlineLevel="1" x14ac:dyDescent="0.25">
      <c r="B408" s="63" t="str">
        <f>BalSheet!B122</f>
        <v>CORP</v>
      </c>
      <c r="C408" s="154"/>
      <c r="D408" s="64">
        <f>BalSheet!D122</f>
        <v>16.5</v>
      </c>
      <c r="E408" s="64">
        <f>BalSheet!E122</f>
        <v>17</v>
      </c>
      <c r="F408" s="64">
        <f>BalSheet!F122</f>
        <v>22</v>
      </c>
      <c r="G408" s="64">
        <f>BalSheet!G122</f>
        <v>25.514297429755331</v>
      </c>
      <c r="H408" s="64">
        <f>BalSheet!H122</f>
        <v>25.503889893930406</v>
      </c>
      <c r="I408" s="64">
        <f>BalSheet!I122</f>
        <v>25.503889893930406</v>
      </c>
      <c r="J408" s="64">
        <f>BalSheet!J122</f>
        <v>25.503889893930406</v>
      </c>
      <c r="K408" s="64">
        <f>BalSheet!K122</f>
        <v>25.503889893930406</v>
      </c>
      <c r="L408" s="64">
        <f>BalSheet!L122</f>
        <v>25.505889894025401</v>
      </c>
      <c r="M408" s="64">
        <f>BalSheet!M122</f>
        <v>25.505889894025401</v>
      </c>
      <c r="N408" s="64">
        <f>BalSheet!N122</f>
        <v>25.505889894258232</v>
      </c>
      <c r="O408" s="64">
        <f>BalSheet!O122</f>
        <v>25.505889894491062</v>
      </c>
      <c r="P408" s="64">
        <f>BalSheet!P122</f>
        <v>25.505889894491062</v>
      </c>
      <c r="Q408" s="64">
        <f>BalSheet!Q122</f>
        <v>25.505889894491062</v>
      </c>
      <c r="R408" s="59"/>
    </row>
    <row r="409" spans="2:18" s="63" customFormat="1" ht="14.45" hidden="1" customHeight="1" outlineLevel="1" x14ac:dyDescent="0.25">
      <c r="C409" s="152"/>
      <c r="D409" s="64"/>
      <c r="E409" s="64"/>
      <c r="F409" s="64"/>
      <c r="G409" s="64"/>
      <c r="H409" s="64"/>
      <c r="I409" s="64"/>
      <c r="J409" s="64"/>
      <c r="K409" s="64"/>
      <c r="L409" s="64"/>
      <c r="M409" s="64"/>
      <c r="N409" s="64"/>
      <c r="O409" s="64"/>
      <c r="P409" s="64"/>
      <c r="Q409" s="64"/>
      <c r="R409" s="59"/>
    </row>
    <row r="410" spans="2:18" s="63" customFormat="1" ht="14.45" hidden="1" customHeight="1" outlineLevel="1" x14ac:dyDescent="0.25">
      <c r="B410" s="63" t="str">
        <f>BalSheet!B124</f>
        <v>Additional paid-in capital</v>
      </c>
      <c r="C410" s="153"/>
      <c r="D410" s="160">
        <f>BalSheet!D124</f>
        <v>99677</v>
      </c>
      <c r="E410" s="159">
        <f>BalSheet!E124</f>
        <v>117060</v>
      </c>
      <c r="F410" s="159">
        <f>BalSheet!F124</f>
        <v>172404</v>
      </c>
      <c r="G410" s="159">
        <f>BalSheet!G124</f>
        <v>240906</v>
      </c>
      <c r="H410" s="159">
        <f>BalSheet!H124</f>
        <v>247298</v>
      </c>
      <c r="I410" s="159">
        <f>BalSheet!I124</f>
        <v>247298</v>
      </c>
      <c r="J410" s="159">
        <f>BalSheet!J124</f>
        <v>247298</v>
      </c>
      <c r="K410" s="159">
        <f>BalSheet!K124</f>
        <v>247298</v>
      </c>
      <c r="L410" s="159">
        <f>BalSheet!L124</f>
        <v>247298</v>
      </c>
      <c r="M410" s="159">
        <f>BalSheet!M124</f>
        <v>253690</v>
      </c>
      <c r="N410" s="159">
        <f>BalSheet!N124</f>
        <v>260082</v>
      </c>
      <c r="O410" s="159">
        <f>BalSheet!O124</f>
        <v>266474</v>
      </c>
      <c r="P410" s="159">
        <f>BalSheet!P124</f>
        <v>266474</v>
      </c>
      <c r="Q410" s="159">
        <f>BalSheet!Q124</f>
        <v>266474</v>
      </c>
      <c r="R410" s="59"/>
    </row>
    <row r="411" spans="2:18" s="63" customFormat="1" ht="14.45" hidden="1" customHeight="1" outlineLevel="1" x14ac:dyDescent="0.25">
      <c r="B411" s="63" t="str">
        <f>BalSheet!B125</f>
        <v>Biz1</v>
      </c>
      <c r="C411" s="154"/>
      <c r="D411" s="64">
        <f>BalSheet!D125</f>
        <v>0</v>
      </c>
      <c r="E411" s="64">
        <f>BalSheet!E125</f>
        <v>0</v>
      </c>
      <c r="F411" s="64">
        <f>BalSheet!F125</f>
        <v>0</v>
      </c>
      <c r="G411" s="64">
        <f>BalSheet!G125</f>
        <v>0</v>
      </c>
      <c r="H411" s="64">
        <f>BalSheet!H125</f>
        <v>0</v>
      </c>
      <c r="I411" s="64">
        <f>BalSheet!I125</f>
        <v>0</v>
      </c>
      <c r="J411" s="64">
        <f>BalSheet!J125</f>
        <v>0</v>
      </c>
      <c r="K411" s="64">
        <f>BalSheet!K125</f>
        <v>0</v>
      </c>
      <c r="L411" s="64">
        <f>BalSheet!L125</f>
        <v>0</v>
      </c>
      <c r="M411" s="64">
        <f>BalSheet!M125</f>
        <v>0</v>
      </c>
      <c r="N411" s="64">
        <f>BalSheet!N125</f>
        <v>0</v>
      </c>
      <c r="O411" s="64">
        <f>BalSheet!O125</f>
        <v>0</v>
      </c>
      <c r="P411" s="64">
        <f>BalSheet!P125</f>
        <v>0</v>
      </c>
      <c r="Q411" s="64">
        <f>BalSheet!Q125</f>
        <v>0</v>
      </c>
      <c r="R411" s="59"/>
    </row>
    <row r="412" spans="2:18" s="63" customFormat="1" ht="14.45" hidden="1" customHeight="1" outlineLevel="1" x14ac:dyDescent="0.25">
      <c r="B412" s="63" t="str">
        <f>BalSheet!B126</f>
        <v>Biz2</v>
      </c>
      <c r="C412" s="154"/>
      <c r="D412" s="64">
        <f>BalSheet!D126</f>
        <v>0</v>
      </c>
      <c r="E412" s="64">
        <f>BalSheet!E126</f>
        <v>0</v>
      </c>
      <c r="F412" s="64">
        <f>BalSheet!F126</f>
        <v>0</v>
      </c>
      <c r="G412" s="64">
        <f>BalSheet!G126</f>
        <v>0</v>
      </c>
      <c r="H412" s="64">
        <f>BalSheet!H126</f>
        <v>0</v>
      </c>
      <c r="I412" s="64">
        <f>BalSheet!I126</f>
        <v>0</v>
      </c>
      <c r="J412" s="64">
        <f>BalSheet!J126</f>
        <v>0</v>
      </c>
      <c r="K412" s="64">
        <f>BalSheet!K126</f>
        <v>0</v>
      </c>
      <c r="L412" s="64">
        <f>BalSheet!L126</f>
        <v>0</v>
      </c>
      <c r="M412" s="64">
        <f>BalSheet!M126</f>
        <v>0</v>
      </c>
      <c r="N412" s="64">
        <f>BalSheet!N126</f>
        <v>0</v>
      </c>
      <c r="O412" s="64">
        <f>BalSheet!O126</f>
        <v>0</v>
      </c>
      <c r="P412" s="64">
        <f>BalSheet!P126</f>
        <v>0</v>
      </c>
      <c r="Q412" s="64">
        <f>BalSheet!Q126</f>
        <v>0</v>
      </c>
      <c r="R412" s="59"/>
    </row>
    <row r="413" spans="2:18" s="63" customFormat="1" ht="14.45" hidden="1" customHeight="1" outlineLevel="1" x14ac:dyDescent="0.25">
      <c r="B413" s="63" t="str">
        <f>BalSheet!B127</f>
        <v>CORP</v>
      </c>
      <c r="C413" s="154"/>
      <c r="D413" s="64">
        <f>BalSheet!D127</f>
        <v>99677</v>
      </c>
      <c r="E413" s="64">
        <f>BalSheet!E127</f>
        <v>117060</v>
      </c>
      <c r="F413" s="64">
        <f>BalSheet!F127</f>
        <v>172404</v>
      </c>
      <c r="G413" s="64">
        <f>BalSheet!G127</f>
        <v>240906</v>
      </c>
      <c r="H413" s="64">
        <f>BalSheet!H127</f>
        <v>247298</v>
      </c>
      <c r="I413" s="64">
        <f>BalSheet!I127</f>
        <v>247298</v>
      </c>
      <c r="J413" s="64">
        <f>BalSheet!J127</f>
        <v>247298</v>
      </c>
      <c r="K413" s="64">
        <f>BalSheet!K127</f>
        <v>247298</v>
      </c>
      <c r="L413" s="64">
        <f>BalSheet!L127</f>
        <v>247298</v>
      </c>
      <c r="M413" s="64">
        <f>BalSheet!M127</f>
        <v>253690</v>
      </c>
      <c r="N413" s="64">
        <f>BalSheet!N127</f>
        <v>260082</v>
      </c>
      <c r="O413" s="64">
        <f>BalSheet!O127</f>
        <v>266474</v>
      </c>
      <c r="P413" s="64">
        <f>BalSheet!P127</f>
        <v>266474</v>
      </c>
      <c r="Q413" s="64">
        <f>BalSheet!Q127</f>
        <v>266474</v>
      </c>
      <c r="R413" s="59"/>
    </row>
    <row r="414" spans="2:18" s="63" customFormat="1" ht="14.45" hidden="1" customHeight="1" outlineLevel="1" x14ac:dyDescent="0.25">
      <c r="C414" s="152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  <c r="O414" s="64"/>
      <c r="P414" s="64"/>
      <c r="Q414" s="64"/>
      <c r="R414" s="59"/>
    </row>
    <row r="415" spans="2:18" s="63" customFormat="1" ht="14.45" hidden="1" customHeight="1" outlineLevel="1" collapsed="1" x14ac:dyDescent="0.25">
      <c r="B415" s="63" t="str">
        <f>BalSheet!B129</f>
        <v>Retained earnings</v>
      </c>
      <c r="C415" s="153"/>
      <c r="D415" s="160">
        <f>BalSheet!D129</f>
        <v>199767.22479555797</v>
      </c>
      <c r="E415" s="159">
        <f>BalSheet!E129</f>
        <v>113116.18479555802</v>
      </c>
      <c r="F415" s="159">
        <f>BalSheet!F129</f>
        <v>20960.774795558042</v>
      </c>
      <c r="G415" s="159">
        <f>BalSheet!G129</f>
        <v>-45645.294811118074</v>
      </c>
      <c r="H415" s="159">
        <f>BalSheet!H129</f>
        <v>-51137.43688144398</v>
      </c>
      <c r="I415" s="159">
        <f>BalSheet!I129</f>
        <v>-58263.71059687293</v>
      </c>
      <c r="J415" s="159">
        <f>BalSheet!J129</f>
        <v>-58274.98431230188</v>
      </c>
      <c r="K415" s="159">
        <f>BalSheet!K129</f>
        <v>-58286.258027730742</v>
      </c>
      <c r="L415" s="159">
        <f>BalSheet!L129</f>
        <v>-58297.533743159729</v>
      </c>
      <c r="M415" s="159">
        <f>BalSheet!M129</f>
        <v>-56699.470266363234</v>
      </c>
      <c r="N415" s="159">
        <f>BalSheet!N129</f>
        <v>-58351.004953527299</v>
      </c>
      <c r="O415" s="159">
        <f>BalSheet!O129</f>
        <v>-58901.060016763804</v>
      </c>
      <c r="P415" s="159">
        <f>BalSheet!P129</f>
        <v>-56178.6035618108</v>
      </c>
      <c r="Q415" s="159">
        <f>BalSheet!Q129</f>
        <v>-68607.04019058292</v>
      </c>
      <c r="R415" s="59"/>
    </row>
    <row r="416" spans="2:18" s="63" customFormat="1" ht="14.45" hidden="1" customHeight="1" outlineLevel="1" x14ac:dyDescent="0.25">
      <c r="B416" s="63" t="str">
        <f>BalSheet!B130</f>
        <v>Biz1</v>
      </c>
      <c r="C416" s="154"/>
      <c r="D416" s="64">
        <f>BalSheet!D130</f>
        <v>176008.04750803031</v>
      </c>
      <c r="E416" s="64">
        <f>BalSheet!E130</f>
        <v>135783.8155080303</v>
      </c>
      <c r="F416" s="64">
        <f>BalSheet!F130</f>
        <v>126583.13750803031</v>
      </c>
      <c r="G416" s="64">
        <f>BalSheet!G130</f>
        <v>157714.59319878396</v>
      </c>
      <c r="H416" s="64">
        <f>BalSheet!H130</f>
        <v>187285.76529071579</v>
      </c>
      <c r="I416" s="64">
        <f>BalSheet!I130</f>
        <v>185326.96118720074</v>
      </c>
      <c r="J416" s="64">
        <f>BalSheet!J130</f>
        <v>191618.15708368568</v>
      </c>
      <c r="K416" s="64">
        <f>BalSheet!K130</f>
        <v>197909.35298017063</v>
      </c>
      <c r="L416" s="64">
        <f>BalSheet!L130</f>
        <v>204200.54887665558</v>
      </c>
      <c r="M416" s="64">
        <f>BalSheet!M130</f>
        <v>242203.76037847751</v>
      </c>
      <c r="N416" s="64">
        <f>BalSheet!N130</f>
        <v>279181.76896471262</v>
      </c>
      <c r="O416" s="64">
        <f>BalSheet!O130</f>
        <v>319612.6922309231</v>
      </c>
      <c r="P416" s="64">
        <f>BalSheet!P130</f>
        <v>357255.64758454321</v>
      </c>
      <c r="Q416" s="64">
        <f>BalSheet!Q130</f>
        <v>379747.53067883797</v>
      </c>
      <c r="R416" s="59"/>
    </row>
    <row r="417" spans="1:18" s="63" customFormat="1" ht="14.45" hidden="1" customHeight="1" outlineLevel="1" x14ac:dyDescent="0.25">
      <c r="B417" s="63" t="str">
        <f>BalSheet!B131</f>
        <v>Biz2</v>
      </c>
      <c r="C417" s="154"/>
      <c r="D417" s="64">
        <f>BalSheet!D131</f>
        <v>-1735.5127124722858</v>
      </c>
      <c r="E417" s="64">
        <f>BalSheet!E131</f>
        <v>2256.5602875277109</v>
      </c>
      <c r="F417" s="64">
        <f>BalSheet!F131</f>
        <v>6037.5852875277124</v>
      </c>
      <c r="G417" s="64">
        <f>BalSheet!G131</f>
        <v>6941.9262875277127</v>
      </c>
      <c r="H417" s="64">
        <f>BalSheet!H131</f>
        <v>8133.9558125277144</v>
      </c>
      <c r="I417" s="64">
        <f>BalSheet!I131</f>
        <v>9746.871464393309</v>
      </c>
      <c r="J417" s="64">
        <f>BalSheet!J131</f>
        <v>10224.787116258911</v>
      </c>
      <c r="K417" s="64">
        <f>BalSheet!K131</f>
        <v>10702.702768124513</v>
      </c>
      <c r="L417" s="64">
        <f>BalSheet!L131</f>
        <v>11180.618419990114</v>
      </c>
      <c r="M417" s="64">
        <f>BalSheet!M131</f>
        <v>12249.108244452509</v>
      </c>
      <c r="N417" s="64">
        <f>BalSheet!N131</f>
        <v>13857.554313579854</v>
      </c>
      <c r="O417" s="64">
        <f>BalSheet!O131</f>
        <v>15587.656150870363</v>
      </c>
      <c r="P417" s="64">
        <f>BalSheet!P131</f>
        <v>17415.033727160866</v>
      </c>
      <c r="Q417" s="64">
        <f>BalSheet!Q131</f>
        <v>19242.411303451372</v>
      </c>
      <c r="R417" s="59"/>
    </row>
    <row r="418" spans="1:18" s="63" customFormat="1" ht="14.45" hidden="1" customHeight="1" outlineLevel="1" x14ac:dyDescent="0.25">
      <c r="B418" s="63" t="str">
        <f>BalSheet!B132</f>
        <v>CORP</v>
      </c>
      <c r="C418" s="154"/>
      <c r="D418" s="64">
        <f>BalSheet!D132</f>
        <v>25494.689999999944</v>
      </c>
      <c r="E418" s="64">
        <f>BalSheet!E132</f>
        <v>-24924.190999999992</v>
      </c>
      <c r="F418" s="64">
        <f>BalSheet!F132</f>
        <v>-111659.94799999997</v>
      </c>
      <c r="G418" s="64">
        <f>BalSheet!G132</f>
        <v>-210301.81429742975</v>
      </c>
      <c r="H418" s="64">
        <f>BalSheet!H132</f>
        <v>-246557.15798468748</v>
      </c>
      <c r="I418" s="64">
        <f>BalSheet!I132</f>
        <v>-253337.54324846697</v>
      </c>
      <c r="J418" s="64">
        <f>BalSheet!J132</f>
        <v>-260117.92851224646</v>
      </c>
      <c r="K418" s="64">
        <f>BalSheet!K132</f>
        <v>-266898.3137760259</v>
      </c>
      <c r="L418" s="64">
        <f>BalSheet!L132</f>
        <v>-273678.70103980543</v>
      </c>
      <c r="M418" s="64">
        <f>BalSheet!M132</f>
        <v>-311152.33888929326</v>
      </c>
      <c r="N418" s="64">
        <f>BalSheet!N132</f>
        <v>-351390.32823181979</v>
      </c>
      <c r="O418" s="64">
        <f>BalSheet!O132</f>
        <v>-394101.40839855728</v>
      </c>
      <c r="P418" s="64">
        <f>BalSheet!P132</f>
        <v>-430849.2848735149</v>
      </c>
      <c r="Q418" s="64">
        <f>BalSheet!Q132</f>
        <v>-467596.98217287223</v>
      </c>
      <c r="R418" s="59"/>
    </row>
    <row r="419" spans="1:18" s="63" customFormat="1" ht="14.45" hidden="1" customHeight="1" outlineLevel="1" x14ac:dyDescent="0.25">
      <c r="C419" s="152"/>
      <c r="D419" s="64"/>
      <c r="E419" s="64"/>
      <c r="F419" s="64"/>
      <c r="G419" s="64"/>
      <c r="H419" s="64"/>
      <c r="I419" s="64"/>
      <c r="J419" s="64"/>
      <c r="K419" s="64"/>
      <c r="L419" s="64"/>
      <c r="M419" s="64"/>
      <c r="N419" s="64"/>
      <c r="O419" s="64"/>
      <c r="P419" s="64"/>
      <c r="Q419" s="64"/>
      <c r="R419" s="59"/>
    </row>
    <row r="420" spans="1:18" s="63" customFormat="1" ht="14.45" hidden="1" customHeight="1" outlineLevel="1" x14ac:dyDescent="0.25">
      <c r="B420" s="132" t="str">
        <f>BalSheet!B134</f>
        <v>Accum. other comprehensive loss</v>
      </c>
      <c r="C420" s="153"/>
      <c r="D420" s="160">
        <f>BalSheet!D134</f>
        <v>0</v>
      </c>
      <c r="E420" s="159">
        <f>BalSheet!E134</f>
        <v>0</v>
      </c>
      <c r="F420" s="159">
        <f>BalSheet!F134</f>
        <v>0</v>
      </c>
      <c r="G420" s="159">
        <f>BalSheet!G134</f>
        <v>0</v>
      </c>
      <c r="H420" s="159">
        <f>BalSheet!H134</f>
        <v>0</v>
      </c>
      <c r="I420" s="159">
        <f>BalSheet!I134</f>
        <v>0</v>
      </c>
      <c r="J420" s="159">
        <f>BalSheet!J134</f>
        <v>0</v>
      </c>
      <c r="K420" s="159">
        <f>BalSheet!K134</f>
        <v>0</v>
      </c>
      <c r="L420" s="159">
        <f>BalSheet!L134</f>
        <v>0</v>
      </c>
      <c r="M420" s="159">
        <f>BalSheet!M134</f>
        <v>0</v>
      </c>
      <c r="N420" s="159">
        <f>BalSheet!N134</f>
        <v>0</v>
      </c>
      <c r="O420" s="159">
        <f>BalSheet!O134</f>
        <v>0</v>
      </c>
      <c r="P420" s="159">
        <f>BalSheet!P134</f>
        <v>0</v>
      </c>
      <c r="Q420" s="159">
        <f>BalSheet!Q134</f>
        <v>0</v>
      </c>
      <c r="R420" s="59"/>
    </row>
    <row r="421" spans="1:18" s="63" customFormat="1" ht="14.45" hidden="1" customHeight="1" outlineLevel="1" x14ac:dyDescent="0.25">
      <c r="B421" s="63" t="str">
        <f>BalSheet!B135</f>
        <v>Biz1</v>
      </c>
      <c r="C421" s="154"/>
      <c r="D421" s="64">
        <f>BalSheet!D135</f>
        <v>0</v>
      </c>
      <c r="E421" s="64">
        <f>BalSheet!E135</f>
        <v>0</v>
      </c>
      <c r="F421" s="64">
        <f>BalSheet!F135</f>
        <v>0</v>
      </c>
      <c r="G421" s="64">
        <f>BalSheet!G135</f>
        <v>0</v>
      </c>
      <c r="H421" s="64">
        <f>BalSheet!H135</f>
        <v>0</v>
      </c>
      <c r="I421" s="64">
        <f>BalSheet!I135</f>
        <v>0</v>
      </c>
      <c r="J421" s="64">
        <f>BalSheet!J135</f>
        <v>0</v>
      </c>
      <c r="K421" s="64">
        <f>BalSheet!K135</f>
        <v>0</v>
      </c>
      <c r="L421" s="64">
        <f>BalSheet!L135</f>
        <v>0</v>
      </c>
      <c r="M421" s="64">
        <f>BalSheet!M135</f>
        <v>0</v>
      </c>
      <c r="N421" s="64">
        <f>BalSheet!N135</f>
        <v>0</v>
      </c>
      <c r="O421" s="64">
        <f>BalSheet!O135</f>
        <v>0</v>
      </c>
      <c r="P421" s="64">
        <f>BalSheet!P135</f>
        <v>0</v>
      </c>
      <c r="Q421" s="64">
        <f>BalSheet!Q135</f>
        <v>0</v>
      </c>
      <c r="R421" s="59"/>
    </row>
    <row r="422" spans="1:18" s="63" customFormat="1" ht="14.45" hidden="1" customHeight="1" outlineLevel="1" x14ac:dyDescent="0.25">
      <c r="B422" s="63" t="str">
        <f>BalSheet!B136</f>
        <v>Biz2</v>
      </c>
      <c r="C422" s="154"/>
      <c r="D422" s="64">
        <f>BalSheet!D136</f>
        <v>0</v>
      </c>
      <c r="E422" s="64">
        <f>BalSheet!E136</f>
        <v>0</v>
      </c>
      <c r="F422" s="64">
        <f>BalSheet!F136</f>
        <v>0</v>
      </c>
      <c r="G422" s="64">
        <f>BalSheet!G136</f>
        <v>0</v>
      </c>
      <c r="H422" s="64">
        <f>BalSheet!H136</f>
        <v>0</v>
      </c>
      <c r="I422" s="64">
        <f>BalSheet!I136</f>
        <v>0</v>
      </c>
      <c r="J422" s="64">
        <f>BalSheet!J136</f>
        <v>0</v>
      </c>
      <c r="K422" s="64">
        <f>BalSheet!K136</f>
        <v>0</v>
      </c>
      <c r="L422" s="64">
        <f>BalSheet!L136</f>
        <v>0</v>
      </c>
      <c r="M422" s="64">
        <f>BalSheet!M136</f>
        <v>0</v>
      </c>
      <c r="N422" s="64">
        <f>BalSheet!N136</f>
        <v>0</v>
      </c>
      <c r="O422" s="64">
        <f>BalSheet!O136</f>
        <v>0</v>
      </c>
      <c r="P422" s="64">
        <f>BalSheet!P136</f>
        <v>0</v>
      </c>
      <c r="Q422" s="64">
        <f>BalSheet!Q136</f>
        <v>0</v>
      </c>
      <c r="R422" s="59"/>
    </row>
    <row r="423" spans="1:18" s="63" customFormat="1" ht="14.45" hidden="1" customHeight="1" outlineLevel="1" x14ac:dyDescent="0.25">
      <c r="B423" s="63" t="str">
        <f>BalSheet!B137</f>
        <v>CORP</v>
      </c>
      <c r="C423" s="154"/>
      <c r="D423" s="64">
        <f>BalSheet!D137</f>
        <v>0</v>
      </c>
      <c r="E423" s="64">
        <f>BalSheet!E137</f>
        <v>0</v>
      </c>
      <c r="F423" s="64">
        <f>BalSheet!F137</f>
        <v>0</v>
      </c>
      <c r="G423" s="64">
        <f>BalSheet!G137</f>
        <v>0</v>
      </c>
      <c r="H423" s="64">
        <f>BalSheet!H137</f>
        <v>0</v>
      </c>
      <c r="I423" s="64">
        <f>BalSheet!I137</f>
        <v>0</v>
      </c>
      <c r="J423" s="64">
        <f>BalSheet!J137</f>
        <v>0</v>
      </c>
      <c r="K423" s="64">
        <f>BalSheet!K137</f>
        <v>0</v>
      </c>
      <c r="L423" s="64">
        <f>BalSheet!L137</f>
        <v>0</v>
      </c>
      <c r="M423" s="64">
        <f>BalSheet!M137</f>
        <v>0</v>
      </c>
      <c r="N423" s="64">
        <f>BalSheet!N137</f>
        <v>0</v>
      </c>
      <c r="O423" s="64">
        <f>BalSheet!O137</f>
        <v>0</v>
      </c>
      <c r="P423" s="64">
        <f>BalSheet!P137</f>
        <v>0</v>
      </c>
      <c r="Q423" s="64">
        <f>BalSheet!Q137</f>
        <v>0</v>
      </c>
      <c r="R423" s="59"/>
    </row>
    <row r="424" spans="1:18" s="63" customFormat="1" ht="14.45" hidden="1" customHeight="1" outlineLevel="1" x14ac:dyDescent="0.25">
      <c r="C424" s="152"/>
      <c r="D424" s="64"/>
      <c r="E424" s="64"/>
      <c r="F424" s="64"/>
      <c r="G424" s="64"/>
      <c r="H424" s="64"/>
      <c r="I424" s="64"/>
      <c r="J424" s="64"/>
      <c r="K424" s="64"/>
      <c r="L424" s="64"/>
      <c r="M424" s="64"/>
      <c r="N424" s="64"/>
      <c r="O424" s="64"/>
      <c r="P424" s="64"/>
      <c r="Q424" s="64"/>
      <c r="R424" s="59"/>
    </row>
    <row r="425" spans="1:18" s="63" customFormat="1" ht="14.45" hidden="1" customHeight="1" outlineLevel="1" collapsed="1" x14ac:dyDescent="0.25">
      <c r="A425" s="63" t="str">
        <f>BalSheet!A139</f>
        <v>Total Equity Company</v>
      </c>
      <c r="C425" s="153"/>
      <c r="D425" s="159">
        <f>BalSheet!D139</f>
        <v>299460.72479555797</v>
      </c>
      <c r="E425" s="159">
        <f>BalSheet!E139</f>
        <v>230193.18479555802</v>
      </c>
      <c r="F425" s="159">
        <f>BalSheet!F139</f>
        <v>193386.77479555804</v>
      </c>
      <c r="G425" s="159">
        <f>BalSheet!G139</f>
        <v>195286.21948631169</v>
      </c>
      <c r="H425" s="159">
        <f>BalSheet!H139</f>
        <v>196186.06700844996</v>
      </c>
      <c r="I425" s="159">
        <f>BalSheet!I139</f>
        <v>189059.79329302101</v>
      </c>
      <c r="J425" s="159">
        <f>BalSheet!J139</f>
        <v>189048.51957759206</v>
      </c>
      <c r="K425" s="159">
        <f>BalSheet!K139</f>
        <v>189037.2458621632</v>
      </c>
      <c r="L425" s="159">
        <f>BalSheet!L139</f>
        <v>189025.9721467343</v>
      </c>
      <c r="M425" s="159">
        <f>BalSheet!M139</f>
        <v>197016.0356235308</v>
      </c>
      <c r="N425" s="159">
        <f>BalSheet!N139</f>
        <v>201756.50093636697</v>
      </c>
      <c r="O425" s="159">
        <f>BalSheet!O139</f>
        <v>207598.44587313069</v>
      </c>
      <c r="P425" s="159">
        <f>BalSheet!P139</f>
        <v>210320.9023280837</v>
      </c>
      <c r="Q425" s="159">
        <f>BalSheet!Q139</f>
        <v>197892.46569931158</v>
      </c>
      <c r="R425" s="59"/>
    </row>
    <row r="426" spans="1:18" s="63" customFormat="1" ht="14.45" hidden="1" customHeight="1" outlineLevel="1" x14ac:dyDescent="0.25">
      <c r="B426" s="63" t="str">
        <f>BalSheet!B140</f>
        <v>Biz1</v>
      </c>
      <c r="C426" s="154"/>
      <c r="D426" s="64">
        <f>BalSheet!D140</f>
        <v>176008.04750803031</v>
      </c>
      <c r="E426" s="64">
        <f>BalSheet!E140</f>
        <v>135783.8155080303</v>
      </c>
      <c r="F426" s="64">
        <f>BalSheet!F140</f>
        <v>126583.13750803031</v>
      </c>
      <c r="G426" s="64">
        <f>BalSheet!G140</f>
        <v>157714.59319878396</v>
      </c>
      <c r="H426" s="64">
        <f>BalSheet!H140</f>
        <v>187285.76529071579</v>
      </c>
      <c r="I426" s="64">
        <f>BalSheet!I140</f>
        <v>185326.96118720074</v>
      </c>
      <c r="J426" s="64">
        <f>BalSheet!J140</f>
        <v>191618.15708368568</v>
      </c>
      <c r="K426" s="64">
        <f>BalSheet!K140</f>
        <v>197909.35298017063</v>
      </c>
      <c r="L426" s="64">
        <f>BalSheet!L140</f>
        <v>204200.54887665558</v>
      </c>
      <c r="M426" s="64">
        <f>BalSheet!M140</f>
        <v>242203.76037847751</v>
      </c>
      <c r="N426" s="64">
        <f>BalSheet!N140</f>
        <v>279181.76896471262</v>
      </c>
      <c r="O426" s="64">
        <f>BalSheet!O140</f>
        <v>319612.6922309231</v>
      </c>
      <c r="P426" s="64">
        <f>BalSheet!P140</f>
        <v>357255.64758454321</v>
      </c>
      <c r="Q426" s="64">
        <f>BalSheet!Q140</f>
        <v>379747.53067883797</v>
      </c>
      <c r="R426" s="59"/>
    </row>
    <row r="427" spans="1:18" s="63" customFormat="1" ht="14.45" hidden="1" customHeight="1" outlineLevel="1" x14ac:dyDescent="0.25">
      <c r="B427" s="63" t="str">
        <f>BalSheet!B141</f>
        <v>Biz2</v>
      </c>
      <c r="C427" s="154"/>
      <c r="D427" s="64">
        <f>BalSheet!D141</f>
        <v>-1735.5127124722858</v>
      </c>
      <c r="E427" s="64">
        <f>BalSheet!E141</f>
        <v>2256.5602875277109</v>
      </c>
      <c r="F427" s="64">
        <f>BalSheet!F141</f>
        <v>6037.5852875277124</v>
      </c>
      <c r="G427" s="64">
        <f>BalSheet!G141</f>
        <v>6941.9262875277127</v>
      </c>
      <c r="H427" s="64">
        <f>BalSheet!H141</f>
        <v>8133.9558125277144</v>
      </c>
      <c r="I427" s="64">
        <f>BalSheet!I141</f>
        <v>9746.871464393309</v>
      </c>
      <c r="J427" s="64">
        <f>BalSheet!J141</f>
        <v>10224.787116258911</v>
      </c>
      <c r="K427" s="64">
        <f>BalSheet!K141</f>
        <v>10702.702768124513</v>
      </c>
      <c r="L427" s="64">
        <f>BalSheet!L141</f>
        <v>11180.618419990114</v>
      </c>
      <c r="M427" s="64">
        <f>BalSheet!M141</f>
        <v>12249.108244452509</v>
      </c>
      <c r="N427" s="64">
        <f>BalSheet!N141</f>
        <v>13857.554313579854</v>
      </c>
      <c r="O427" s="64">
        <f>BalSheet!O141</f>
        <v>15587.656150870363</v>
      </c>
      <c r="P427" s="64">
        <f>BalSheet!P141</f>
        <v>17415.033727160866</v>
      </c>
      <c r="Q427" s="64">
        <f>BalSheet!Q141</f>
        <v>19242.411303451372</v>
      </c>
      <c r="R427" s="59"/>
    </row>
    <row r="428" spans="1:18" s="63" customFormat="1" ht="14.45" hidden="1" customHeight="1" outlineLevel="1" x14ac:dyDescent="0.25">
      <c r="B428" s="63" t="str">
        <f>BalSheet!B142</f>
        <v>CORP</v>
      </c>
      <c r="C428" s="154"/>
      <c r="D428" s="64">
        <f>BalSheet!D142</f>
        <v>125188.18999999994</v>
      </c>
      <c r="E428" s="64">
        <f>BalSheet!E142</f>
        <v>92152.809000000008</v>
      </c>
      <c r="F428" s="64">
        <f>BalSheet!F142</f>
        <v>60766.052000000025</v>
      </c>
      <c r="G428" s="64">
        <f>BalSheet!G142</f>
        <v>30629.700000000012</v>
      </c>
      <c r="H428" s="64">
        <f>BalSheet!H142</f>
        <v>766.34590520645725</v>
      </c>
      <c r="I428" s="64">
        <f>BalSheet!I142</f>
        <v>-6014.0393585730344</v>
      </c>
      <c r="J428" s="64">
        <f>BalSheet!J142</f>
        <v>-12794.424622352526</v>
      </c>
      <c r="K428" s="64">
        <f>BalSheet!K142</f>
        <v>-19574.80988613196</v>
      </c>
      <c r="L428" s="64">
        <f>BalSheet!L142</f>
        <v>-26355.195149911393</v>
      </c>
      <c r="M428" s="64">
        <f>BalSheet!M142</f>
        <v>-57436.832999399223</v>
      </c>
      <c r="N428" s="64">
        <f>BalSheet!N142</f>
        <v>-91282.822341925523</v>
      </c>
      <c r="O428" s="64">
        <f>BalSheet!O142</f>
        <v>-127601.90250866278</v>
      </c>
      <c r="P428" s="64">
        <f>BalSheet!P142</f>
        <v>-164349.7789836204</v>
      </c>
      <c r="Q428" s="64">
        <f>BalSheet!Q142</f>
        <v>-201097.47628297773</v>
      </c>
      <c r="R428" s="59"/>
    </row>
    <row r="429" spans="1:18" s="63" customFormat="1" ht="14.45" hidden="1" customHeight="1" outlineLevel="1" x14ac:dyDescent="0.25">
      <c r="C429" s="152"/>
      <c r="H429" s="66"/>
      <c r="M429" s="66"/>
      <c r="N429" s="66"/>
      <c r="O429" s="66"/>
      <c r="P429" s="66"/>
      <c r="Q429" s="66"/>
      <c r="R429" s="59"/>
    </row>
    <row r="430" spans="1:18" s="63" customFormat="1" ht="14.45" hidden="1" customHeight="1" outlineLevel="1" x14ac:dyDescent="0.25">
      <c r="B430" s="132" t="str">
        <f>BalSheet!B144</f>
        <v xml:space="preserve">Noncontrolling interest </v>
      </c>
      <c r="C430" s="153"/>
      <c r="D430" s="160">
        <f>BalSheet!D144</f>
        <v>8618</v>
      </c>
      <c r="E430" s="159">
        <f>BalSheet!E144</f>
        <v>8724</v>
      </c>
      <c r="F430" s="159">
        <f>BalSheet!F144</f>
        <v>11469</v>
      </c>
      <c r="G430" s="159">
        <f>BalSheet!G144</f>
        <v>13569.611000000001</v>
      </c>
      <c r="H430" s="159">
        <f>BalSheet!H144</f>
        <v>17562.803682842627</v>
      </c>
      <c r="I430" s="159">
        <f>BalSheet!I144</f>
        <v>17562.803682842627</v>
      </c>
      <c r="J430" s="159">
        <f>BalSheet!J144</f>
        <v>17562.803682842627</v>
      </c>
      <c r="K430" s="159">
        <f>BalSheet!K144</f>
        <v>17562.803682842627</v>
      </c>
      <c r="L430" s="159">
        <f>BalSheet!L144</f>
        <v>17562.803682842627</v>
      </c>
      <c r="M430" s="159">
        <f>BalSheet!M144</f>
        <v>20619.935477212552</v>
      </c>
      <c r="N430" s="159">
        <f>BalSheet!N144</f>
        <v>24746.285236212865</v>
      </c>
      <c r="O430" s="159">
        <f>BalSheet!O144</f>
        <v>29709.488927992581</v>
      </c>
      <c r="P430" s="159">
        <f>BalSheet!P144</f>
        <v>29709.488927992581</v>
      </c>
      <c r="Q430" s="159">
        <f>BalSheet!Q144</f>
        <v>29709.488927992581</v>
      </c>
      <c r="R430" s="59"/>
    </row>
    <row r="431" spans="1:18" s="63" customFormat="1" ht="14.45" hidden="1" customHeight="1" outlineLevel="1" x14ac:dyDescent="0.25">
      <c r="B431" s="63" t="str">
        <f>BalSheet!B145</f>
        <v>Biz1</v>
      </c>
      <c r="C431" s="154"/>
      <c r="D431" s="64">
        <f>BalSheet!D145</f>
        <v>0</v>
      </c>
      <c r="E431" s="64">
        <f>BalSheet!E145</f>
        <v>0</v>
      </c>
      <c r="F431" s="64">
        <f>BalSheet!F145</f>
        <v>0</v>
      </c>
      <c r="G431" s="64">
        <f>BalSheet!G145</f>
        <v>0</v>
      </c>
      <c r="H431" s="64">
        <f>BalSheet!H145</f>
        <v>0</v>
      </c>
      <c r="I431" s="64">
        <f>BalSheet!I145</f>
        <v>0</v>
      </c>
      <c r="J431" s="64">
        <f>BalSheet!J145</f>
        <v>0</v>
      </c>
      <c r="K431" s="64">
        <f>BalSheet!K145</f>
        <v>0</v>
      </c>
      <c r="L431" s="64">
        <f>BalSheet!L145</f>
        <v>0</v>
      </c>
      <c r="M431" s="64">
        <f>BalSheet!M145</f>
        <v>0</v>
      </c>
      <c r="N431" s="64">
        <f>BalSheet!N145</f>
        <v>0</v>
      </c>
      <c r="O431" s="64">
        <f>BalSheet!O145</f>
        <v>0</v>
      </c>
      <c r="P431" s="64">
        <f>BalSheet!P145</f>
        <v>0</v>
      </c>
      <c r="Q431" s="64">
        <f>BalSheet!Q145</f>
        <v>0</v>
      </c>
      <c r="R431" s="59"/>
    </row>
    <row r="432" spans="1:18" s="63" customFormat="1" ht="14.45" hidden="1" customHeight="1" outlineLevel="1" x14ac:dyDescent="0.25">
      <c r="B432" s="63" t="str">
        <f>BalSheet!B146</f>
        <v>Biz2</v>
      </c>
      <c r="C432" s="154"/>
      <c r="D432" s="64">
        <f>BalSheet!D146</f>
        <v>0</v>
      </c>
      <c r="E432" s="64">
        <f>BalSheet!E146</f>
        <v>0</v>
      </c>
      <c r="F432" s="64">
        <f>BalSheet!F146</f>
        <v>0</v>
      </c>
      <c r="G432" s="64">
        <f>BalSheet!G146</f>
        <v>0</v>
      </c>
      <c r="H432" s="64">
        <f>BalSheet!H146</f>
        <v>0</v>
      </c>
      <c r="I432" s="64">
        <f>BalSheet!I146</f>
        <v>0</v>
      </c>
      <c r="J432" s="64">
        <f>BalSheet!J146</f>
        <v>0</v>
      </c>
      <c r="K432" s="64">
        <f>BalSheet!K146</f>
        <v>0</v>
      </c>
      <c r="L432" s="64">
        <f>BalSheet!L146</f>
        <v>0</v>
      </c>
      <c r="M432" s="64">
        <f>BalSheet!M146</f>
        <v>0</v>
      </c>
      <c r="N432" s="64">
        <f>BalSheet!N146</f>
        <v>0</v>
      </c>
      <c r="O432" s="64">
        <f>BalSheet!O146</f>
        <v>0</v>
      </c>
      <c r="P432" s="64">
        <f>BalSheet!P146</f>
        <v>0</v>
      </c>
      <c r="Q432" s="64">
        <f>BalSheet!Q146</f>
        <v>0</v>
      </c>
      <c r="R432" s="59"/>
    </row>
    <row r="433" spans="1:18" s="63" customFormat="1" ht="14.45" hidden="1" customHeight="1" outlineLevel="1" x14ac:dyDescent="0.25">
      <c r="B433" s="63" t="str">
        <f>BalSheet!B147</f>
        <v>CORP</v>
      </c>
      <c r="C433" s="154"/>
      <c r="D433" s="64">
        <f>BalSheet!D147</f>
        <v>8618</v>
      </c>
      <c r="E433" s="64">
        <f>BalSheet!E147</f>
        <v>8724</v>
      </c>
      <c r="F433" s="64">
        <f>BalSheet!F147</f>
        <v>11469</v>
      </c>
      <c r="G433" s="64">
        <f>BalSheet!G147</f>
        <v>13569.611000000001</v>
      </c>
      <c r="H433" s="64">
        <f>BalSheet!H147</f>
        <v>17562.803682842627</v>
      </c>
      <c r="I433" s="64">
        <f>BalSheet!I147</f>
        <v>17562.803682842627</v>
      </c>
      <c r="J433" s="64">
        <f>BalSheet!J147</f>
        <v>17562.803682842627</v>
      </c>
      <c r="K433" s="64">
        <f>BalSheet!K147</f>
        <v>17562.803682842627</v>
      </c>
      <c r="L433" s="64">
        <f>BalSheet!L147</f>
        <v>17562.803682842627</v>
      </c>
      <c r="M433" s="64">
        <f>BalSheet!M147</f>
        <v>20619.935477212552</v>
      </c>
      <c r="N433" s="64">
        <f>BalSheet!N147</f>
        <v>24746.285236212865</v>
      </c>
      <c r="O433" s="64">
        <f>BalSheet!O147</f>
        <v>29709.488927992581</v>
      </c>
      <c r="P433" s="64">
        <f>BalSheet!P147</f>
        <v>29709.488927992581</v>
      </c>
      <c r="Q433" s="64">
        <f>BalSheet!Q147</f>
        <v>29709.488927992581</v>
      </c>
      <c r="R433" s="59"/>
    </row>
    <row r="434" spans="1:18" s="63" customFormat="1" ht="14.45" hidden="1" customHeight="1" outlineLevel="1" x14ac:dyDescent="0.25">
      <c r="C434" s="152"/>
      <c r="D434" s="64"/>
      <c r="E434" s="64"/>
      <c r="F434" s="64"/>
      <c r="G434" s="64"/>
      <c r="H434" s="64"/>
      <c r="I434" s="64"/>
      <c r="J434" s="64"/>
      <c r="K434" s="64"/>
      <c r="L434" s="64"/>
      <c r="M434" s="64"/>
      <c r="N434" s="64"/>
      <c r="O434" s="64"/>
      <c r="P434" s="64"/>
      <c r="Q434" s="64"/>
      <c r="R434" s="59"/>
    </row>
    <row r="435" spans="1:18" s="66" customFormat="1" ht="14.45" hidden="1" customHeight="1" outlineLevel="1" x14ac:dyDescent="0.25">
      <c r="A435" s="66" t="str">
        <f>BalSheet!A149</f>
        <v>TOTAL EQUITY</v>
      </c>
      <c r="C435" s="153"/>
      <c r="D435" s="67">
        <f>BalSheet!D149</f>
        <v>308078.72479555797</v>
      </c>
      <c r="E435" s="67">
        <f>BalSheet!E149</f>
        <v>238917.18479555802</v>
      </c>
      <c r="F435" s="67">
        <f>BalSheet!F149</f>
        <v>204855.77479555804</v>
      </c>
      <c r="G435" s="67">
        <f>BalSheet!G149</f>
        <v>208855.83048631169</v>
      </c>
      <c r="H435" s="67">
        <f>BalSheet!H149</f>
        <v>213748.87069129257</v>
      </c>
      <c r="I435" s="67">
        <f>BalSheet!I149</f>
        <v>206622.59697586362</v>
      </c>
      <c r="J435" s="67">
        <f>BalSheet!J149</f>
        <v>206611.32326043467</v>
      </c>
      <c r="K435" s="67">
        <f>BalSheet!K149</f>
        <v>206600.04954500584</v>
      </c>
      <c r="L435" s="67">
        <f>BalSheet!L149</f>
        <v>206588.77582957695</v>
      </c>
      <c r="M435" s="67">
        <f>BalSheet!M149</f>
        <v>217635.97110074334</v>
      </c>
      <c r="N435" s="67">
        <f>BalSheet!N149</f>
        <v>226502.78617257983</v>
      </c>
      <c r="O435" s="67">
        <f>BalSheet!O149</f>
        <v>237307.93480112328</v>
      </c>
      <c r="P435" s="67">
        <f>BalSheet!P149</f>
        <v>240030.39125607628</v>
      </c>
      <c r="Q435" s="67">
        <f>BalSheet!Q149</f>
        <v>227601.95462730416</v>
      </c>
      <c r="R435" s="59"/>
    </row>
    <row r="436" spans="1:18" s="63" customFormat="1" ht="14.45" hidden="1" customHeight="1" outlineLevel="1" x14ac:dyDescent="0.25">
      <c r="B436" s="63" t="str">
        <f>BalSheet!B150</f>
        <v>Biz1</v>
      </c>
      <c r="C436" s="154"/>
      <c r="D436" s="64">
        <f>BalSheet!D150</f>
        <v>176008.04750803031</v>
      </c>
      <c r="E436" s="64">
        <f>BalSheet!E150</f>
        <v>135783.8155080303</v>
      </c>
      <c r="F436" s="64">
        <f>BalSheet!F150</f>
        <v>126583.13750803031</v>
      </c>
      <c r="G436" s="64">
        <f>BalSheet!G150</f>
        <v>157714.59319878396</v>
      </c>
      <c r="H436" s="64">
        <f>BalSheet!H150</f>
        <v>187285.76529071579</v>
      </c>
      <c r="I436" s="64">
        <f>BalSheet!I150</f>
        <v>185326.96118720074</v>
      </c>
      <c r="J436" s="64">
        <f>BalSheet!J150</f>
        <v>191618.15708368568</v>
      </c>
      <c r="K436" s="64">
        <f>BalSheet!K150</f>
        <v>197909.35298017063</v>
      </c>
      <c r="L436" s="64">
        <f>BalSheet!L150</f>
        <v>204200.54887665558</v>
      </c>
      <c r="M436" s="64">
        <f>BalSheet!M150</f>
        <v>242203.76037847751</v>
      </c>
      <c r="N436" s="64">
        <f>BalSheet!N150</f>
        <v>279181.76896471262</v>
      </c>
      <c r="O436" s="64">
        <f>BalSheet!O150</f>
        <v>319612.6922309231</v>
      </c>
      <c r="P436" s="64">
        <f>BalSheet!P150</f>
        <v>357255.64758454321</v>
      </c>
      <c r="Q436" s="64">
        <f>BalSheet!Q150</f>
        <v>379747.53067883797</v>
      </c>
      <c r="R436" s="59"/>
    </row>
    <row r="437" spans="1:18" s="63" customFormat="1" ht="14.45" hidden="1" customHeight="1" outlineLevel="1" x14ac:dyDescent="0.25">
      <c r="B437" s="63" t="str">
        <f>BalSheet!B151</f>
        <v>Biz2</v>
      </c>
      <c r="C437" s="154"/>
      <c r="D437" s="64">
        <f>BalSheet!D151</f>
        <v>-1735.5127124722858</v>
      </c>
      <c r="E437" s="64">
        <f>BalSheet!E151</f>
        <v>2256.5602875277109</v>
      </c>
      <c r="F437" s="64">
        <f>BalSheet!F151</f>
        <v>6037.5852875277124</v>
      </c>
      <c r="G437" s="64">
        <f>BalSheet!G151</f>
        <v>6941.9262875277127</v>
      </c>
      <c r="H437" s="64">
        <f>BalSheet!H151</f>
        <v>8133.9558125277144</v>
      </c>
      <c r="I437" s="64">
        <f>BalSheet!I151</f>
        <v>9746.871464393309</v>
      </c>
      <c r="J437" s="64">
        <f>BalSheet!J151</f>
        <v>10224.787116258911</v>
      </c>
      <c r="K437" s="64">
        <f>BalSheet!K151</f>
        <v>10702.702768124513</v>
      </c>
      <c r="L437" s="64">
        <f>BalSheet!L151</f>
        <v>11180.618419990114</v>
      </c>
      <c r="M437" s="64">
        <f>BalSheet!M151</f>
        <v>12249.108244452509</v>
      </c>
      <c r="N437" s="64">
        <f>BalSheet!N151</f>
        <v>13857.554313579854</v>
      </c>
      <c r="O437" s="64">
        <f>BalSheet!O151</f>
        <v>15587.656150870363</v>
      </c>
      <c r="P437" s="64">
        <f>BalSheet!P151</f>
        <v>17415.033727160866</v>
      </c>
      <c r="Q437" s="64">
        <f>BalSheet!Q151</f>
        <v>19242.411303451372</v>
      </c>
      <c r="R437" s="59"/>
    </row>
    <row r="438" spans="1:18" s="63" customFormat="1" ht="14.45" hidden="1" customHeight="1" outlineLevel="1" x14ac:dyDescent="0.25">
      <c r="B438" s="63" t="str">
        <f>BalSheet!B152</f>
        <v>CORP</v>
      </c>
      <c r="C438" s="154"/>
      <c r="D438" s="64">
        <f>BalSheet!D152</f>
        <v>133806.18999999994</v>
      </c>
      <c r="E438" s="64">
        <f>BalSheet!E152</f>
        <v>100876.80900000001</v>
      </c>
      <c r="F438" s="64">
        <f>BalSheet!F152</f>
        <v>72235.052000000025</v>
      </c>
      <c r="G438" s="64">
        <f>BalSheet!G152</f>
        <v>44199.311000000016</v>
      </c>
      <c r="H438" s="64">
        <f>BalSheet!H152</f>
        <v>18329.149588049084</v>
      </c>
      <c r="I438" s="64">
        <f>BalSheet!I152</f>
        <v>11548.764324269592</v>
      </c>
      <c r="J438" s="64">
        <f>BalSheet!J152</f>
        <v>4768.3790604901005</v>
      </c>
      <c r="K438" s="64">
        <f>BalSheet!K152</f>
        <v>-2012.0062032893329</v>
      </c>
      <c r="L438" s="64">
        <f>BalSheet!L152</f>
        <v>-8792.3914670687664</v>
      </c>
      <c r="M438" s="64">
        <f>BalSheet!M152</f>
        <v>-36816.897522186671</v>
      </c>
      <c r="N438" s="64">
        <f>BalSheet!N152</f>
        <v>-66536.537105712661</v>
      </c>
      <c r="O438" s="64">
        <f>BalSheet!O152</f>
        <v>-97892.413580670196</v>
      </c>
      <c r="P438" s="64">
        <f>BalSheet!P152</f>
        <v>-134640.29005562782</v>
      </c>
      <c r="Q438" s="64">
        <f>BalSheet!Q152</f>
        <v>-171387.98735498515</v>
      </c>
      <c r="R438" s="59"/>
    </row>
    <row r="439" spans="1:18" s="63" customFormat="1" ht="14.45" hidden="1" customHeight="1" outlineLevel="1" x14ac:dyDescent="0.25">
      <c r="C439" s="152"/>
      <c r="D439" s="63">
        <f>BalSheet!D153</f>
        <v>0</v>
      </c>
      <c r="E439" s="63">
        <f>BalSheet!E153</f>
        <v>0</v>
      </c>
      <c r="F439" s="63">
        <f>BalSheet!F153</f>
        <v>0</v>
      </c>
      <c r="G439" s="63">
        <f>BalSheet!G153</f>
        <v>0</v>
      </c>
      <c r="H439" s="66">
        <f>BalSheet!H153</f>
        <v>0</v>
      </c>
      <c r="I439" s="63">
        <f>BalSheet!I153</f>
        <v>0</v>
      </c>
      <c r="J439" s="63">
        <f>BalSheet!J153</f>
        <v>0</v>
      </c>
      <c r="K439" s="63">
        <f>BalSheet!K153</f>
        <v>0</v>
      </c>
      <c r="L439" s="63">
        <f>BalSheet!L153</f>
        <v>0</v>
      </c>
      <c r="M439" s="66">
        <f>BalSheet!M153</f>
        <v>0</v>
      </c>
      <c r="N439" s="66">
        <f>BalSheet!N153</f>
        <v>0</v>
      </c>
      <c r="O439" s="66">
        <f>BalSheet!O153</f>
        <v>0</v>
      </c>
      <c r="P439" s="66">
        <f>BalSheet!P153</f>
        <v>0</v>
      </c>
      <c r="Q439" s="66">
        <f>BalSheet!Q153</f>
        <v>0</v>
      </c>
      <c r="R439" s="59"/>
    </row>
    <row r="440" spans="1:18" s="66" customFormat="1" ht="14.45" hidden="1" customHeight="1" outlineLevel="1" x14ac:dyDescent="0.25">
      <c r="A440" s="66" t="str">
        <f>BalSheet!A154</f>
        <v>TOTAL LIABILITIES + EQUITY</v>
      </c>
      <c r="C440" s="153"/>
      <c r="D440" s="67">
        <f>BalSheet!D154</f>
        <v>794373.59323060035</v>
      </c>
      <c r="E440" s="67">
        <f>BalSheet!E154</f>
        <v>647922.93610052019</v>
      </c>
      <c r="F440" s="67">
        <f>BalSheet!F154</f>
        <v>588793.1304331905</v>
      </c>
      <c r="G440" s="67">
        <f>BalSheet!G154</f>
        <v>688333.37114771223</v>
      </c>
      <c r="H440" s="67">
        <f>BalSheet!H154</f>
        <v>636473.14335848251</v>
      </c>
      <c r="I440" s="67">
        <f>BalSheet!I154</f>
        <v>617001.44921188336</v>
      </c>
      <c r="J440" s="67">
        <f>BalSheet!J154</f>
        <v>616990.17549645435</v>
      </c>
      <c r="K440" s="67">
        <f>BalSheet!K154</f>
        <v>616978.90178102558</v>
      </c>
      <c r="L440" s="67">
        <f>BalSheet!L154</f>
        <v>616967.62806559657</v>
      </c>
      <c r="M440" s="67">
        <f>BalSheet!M154</f>
        <v>648392.27286517806</v>
      </c>
      <c r="N440" s="67">
        <f>BalSheet!N154</f>
        <v>684474.9114130768</v>
      </c>
      <c r="O440" s="67">
        <f>BalSheet!O154</f>
        <v>703227.39818371832</v>
      </c>
      <c r="P440" s="67">
        <f>BalSheet!P154</f>
        <v>702805.36622003547</v>
      </c>
      <c r="Q440" s="67">
        <f>BalSheet!Q154</f>
        <v>683755.49909378553</v>
      </c>
      <c r="R440" s="59"/>
    </row>
    <row r="441" spans="1:18" s="63" customFormat="1" ht="14.45" hidden="1" customHeight="1" outlineLevel="1" x14ac:dyDescent="0.25">
      <c r="B441" s="63" t="str">
        <f>BalSheet!B155</f>
        <v>Biz1</v>
      </c>
      <c r="C441" s="154"/>
      <c r="D441" s="64">
        <f>BalSheet!D155</f>
        <v>278623.22872375749</v>
      </c>
      <c r="E441" s="64">
        <f>BalSheet!E155</f>
        <v>186944.78261258226</v>
      </c>
      <c r="F441" s="64">
        <f>BalSheet!F155</f>
        <v>175067.95930731346</v>
      </c>
      <c r="G441" s="64">
        <f>BalSheet!G155</f>
        <v>308303.81888976705</v>
      </c>
      <c r="H441" s="64">
        <f>BalSheet!H155</f>
        <v>345575.02176719118</v>
      </c>
      <c r="I441" s="64">
        <f>BalSheet!I155</f>
        <v>332405.79723250598</v>
      </c>
      <c r="J441" s="64">
        <f>BalSheet!J155</f>
        <v>338696.99312899093</v>
      </c>
      <c r="K441" s="64">
        <f>BalSheet!K155</f>
        <v>344988.18902547588</v>
      </c>
      <c r="L441" s="64">
        <f>BalSheet!L155</f>
        <v>351279.38492196082</v>
      </c>
      <c r="M441" s="64">
        <f>BalSheet!M155</f>
        <v>406707.32260845916</v>
      </c>
      <c r="N441" s="64">
        <f>BalSheet!N155</f>
        <v>469445.06353603367</v>
      </c>
      <c r="O441" s="64">
        <f>BalSheet!O155</f>
        <v>516750.37673037121</v>
      </c>
      <c r="P441" s="64">
        <f>BalSheet!P155</f>
        <v>550923.41243856144</v>
      </c>
      <c r="Q441" s="64">
        <f>BalSheet!Q155</f>
        <v>567132.13495039311</v>
      </c>
      <c r="R441" s="59"/>
    </row>
    <row r="442" spans="1:18" s="63" customFormat="1" ht="14.45" hidden="1" customHeight="1" outlineLevel="1" x14ac:dyDescent="0.25">
      <c r="B442" s="63" t="str">
        <f>BalSheet!B156</f>
        <v>Biz2</v>
      </c>
      <c r="C442" s="154"/>
      <c r="D442" s="64">
        <f>BalSheet!D156</f>
        <v>53270.674506842901</v>
      </c>
      <c r="E442" s="64">
        <f>BalSheet!E156</f>
        <v>32263.34448793796</v>
      </c>
      <c r="F442" s="64">
        <f>BalSheet!F156</f>
        <v>31327.019125877032</v>
      </c>
      <c r="G442" s="64">
        <f>BalSheet!G156</f>
        <v>26301.566257945175</v>
      </c>
      <c r="H442" s="64">
        <f>BalSheet!H156</f>
        <v>35211.737624684873</v>
      </c>
      <c r="I442" s="64">
        <f>BalSheet!I156</f>
        <v>35689.653276550467</v>
      </c>
      <c r="J442" s="64">
        <f>BalSheet!J156</f>
        <v>36167.568928416062</v>
      </c>
      <c r="K442" s="64">
        <f>BalSheet!K156</f>
        <v>36645.484580281671</v>
      </c>
      <c r="L442" s="64">
        <f>BalSheet!L156</f>
        <v>37123.400232147265</v>
      </c>
      <c r="M442" s="64">
        <f>BalSheet!M156</f>
        <v>40871.113654501889</v>
      </c>
      <c r="N442" s="64">
        <f>BalSheet!N156</f>
        <v>43543.381365486879</v>
      </c>
      <c r="O442" s="64">
        <f>BalSheet!O156</f>
        <v>46141.339037608312</v>
      </c>
      <c r="P442" s="64">
        <f>BalSheet!P156</f>
        <v>48294.147840692851</v>
      </c>
      <c r="Q442" s="64">
        <f>BalSheet!Q156</f>
        <v>49783.255501968582</v>
      </c>
      <c r="R442" s="59"/>
    </row>
    <row r="443" spans="1:18" s="63" customFormat="1" ht="14.45" hidden="1" customHeight="1" outlineLevel="1" x14ac:dyDescent="0.25">
      <c r="B443" s="63" t="str">
        <f>BalSheet!B157</f>
        <v>CORP</v>
      </c>
      <c r="C443" s="154"/>
      <c r="D443" s="64">
        <f>BalSheet!D157</f>
        <v>462479.68999999994</v>
      </c>
      <c r="E443" s="64">
        <f>BalSheet!E157</f>
        <v>428714.80900000001</v>
      </c>
      <c r="F443" s="64">
        <f>BalSheet!F157</f>
        <v>382398.152</v>
      </c>
      <c r="G443" s="64">
        <f>BalSheet!G157</f>
        <v>353727.98600000003</v>
      </c>
      <c r="H443" s="64">
        <f>BalSheet!H157</f>
        <v>255686.3839666064</v>
      </c>
      <c r="I443" s="64">
        <f>BalSheet!I157</f>
        <v>248905.99870282691</v>
      </c>
      <c r="J443" s="64">
        <f>BalSheet!J157</f>
        <v>242125.61343904742</v>
      </c>
      <c r="K443" s="64">
        <f>BalSheet!K157</f>
        <v>235345.22817526798</v>
      </c>
      <c r="L443" s="64">
        <f>BalSheet!L157</f>
        <v>228564.84291148855</v>
      </c>
      <c r="M443" s="64">
        <f>BalSheet!M157</f>
        <v>200813.83660221705</v>
      </c>
      <c r="N443" s="64">
        <f>BalSheet!N157</f>
        <v>171486.46651155621</v>
      </c>
      <c r="O443" s="64">
        <f>BalSheet!O157</f>
        <v>140335.68241573879</v>
      </c>
      <c r="P443" s="64">
        <f>BalSheet!P157</f>
        <v>103587.80594078117</v>
      </c>
      <c r="Q443" s="64">
        <f>BalSheet!Q157</f>
        <v>66840.108641423838</v>
      </c>
      <c r="R443" s="59"/>
    </row>
    <row r="444" spans="1:18" s="63" customFormat="1" ht="14.45" hidden="1" customHeight="1" outlineLevel="1" collapsed="1" x14ac:dyDescent="0.25">
      <c r="C444" s="165"/>
      <c r="R444" s="59"/>
    </row>
    <row r="445" spans="1:18" collapsed="1" x14ac:dyDescent="0.25">
      <c r="A445" s="19" t="s">
        <v>153</v>
      </c>
    </row>
  </sheetData>
  <sheetProtection algorithmName="SHA-512" hashValue="OsoM4A4HYKexHzundQBKcZa2X7KHyVMCJ8MJF9z7I/hbEgvEA3K97Uck46qJUYRHP7jIlyOVhKdj2c9ZsBxRpg==" saltValue="OEfC/ad9RVOcjOXQutfQqA==" spinCount="100000" sheet="1" objects="1" scenarios="1"/>
  <conditionalFormatting sqref="C209:C277">
    <cfRule type="cellIs" dxfId="11" priority="4" operator="notBetween">
      <formula>-0.00000001</formula>
      <formula>0.00000001</formula>
    </cfRule>
  </conditionalFormatting>
  <conditionalFormatting sqref="D202:R204">
    <cfRule type="cellIs" dxfId="10" priority="1" operator="equal">
      <formula>TRUE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R53"/>
  <sheetViews>
    <sheetView zoomScale="85" zoomScaleNormal="85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defaultRowHeight="15" x14ac:dyDescent="0.25"/>
  <cols>
    <col min="1" max="1" width="5.85546875" customWidth="1"/>
    <col min="2" max="2" width="38.28515625" customWidth="1"/>
    <col min="3" max="3" width="2.140625" bestFit="1" customWidth="1"/>
    <col min="9" max="9" width="9" bestFit="1" customWidth="1"/>
    <col min="16" max="16" width="9" bestFit="1" customWidth="1"/>
  </cols>
  <sheetData>
    <row r="1" spans="1:18" x14ac:dyDescent="0.25">
      <c r="A1" s="31" t="s">
        <v>536</v>
      </c>
      <c r="C1" s="2"/>
    </row>
    <row r="2" spans="1:18" ht="15.75" thickBot="1" x14ac:dyDescent="0.3">
      <c r="A2" s="31" t="s">
        <v>103</v>
      </c>
      <c r="C2" s="2"/>
      <c r="D2" s="3" t="s">
        <v>89</v>
      </c>
      <c r="E2" s="3"/>
      <c r="F2" s="3"/>
      <c r="G2" s="3"/>
      <c r="H2" s="4"/>
      <c r="I2" s="5" t="s">
        <v>90</v>
      </c>
      <c r="J2" s="5"/>
      <c r="K2" s="5"/>
      <c r="L2" s="5"/>
      <c r="M2" s="125" t="s">
        <v>89</v>
      </c>
      <c r="N2" s="126"/>
      <c r="O2" s="4"/>
      <c r="P2" s="4"/>
      <c r="Q2" s="4"/>
    </row>
    <row r="3" spans="1:18" ht="15.75" thickBot="1" x14ac:dyDescent="0.3">
      <c r="C3" s="6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I3" s="8">
        <v>41243</v>
      </c>
      <c r="J3" s="9">
        <v>41333</v>
      </c>
      <c r="K3" s="9">
        <v>41425</v>
      </c>
      <c r="L3" s="9">
        <v>41517</v>
      </c>
      <c r="M3" s="127">
        <v>42369</v>
      </c>
      <c r="N3" s="7">
        <v>42735</v>
      </c>
      <c r="O3" s="7">
        <v>43100</v>
      </c>
      <c r="P3" s="7">
        <v>43465</v>
      </c>
      <c r="Q3" s="7">
        <v>43830</v>
      </c>
    </row>
    <row r="5" spans="1:18" x14ac:dyDescent="0.25">
      <c r="A5" s="521" t="s">
        <v>102</v>
      </c>
      <c r="B5" s="524"/>
      <c r="C5" s="524"/>
      <c r="D5" s="524"/>
      <c r="E5" s="524"/>
      <c r="F5" s="526"/>
      <c r="G5" s="524"/>
      <c r="H5" s="524"/>
      <c r="I5" s="524"/>
      <c r="J5" s="524"/>
      <c r="K5" s="524"/>
      <c r="L5" s="524"/>
      <c r="M5" s="524"/>
      <c r="N5" s="524"/>
      <c r="O5" s="524"/>
      <c r="P5" s="524"/>
      <c r="Q5" s="524"/>
      <c r="R5" s="524"/>
    </row>
    <row r="6" spans="1:18" s="474" customFormat="1" x14ac:dyDescent="0.25">
      <c r="A6" s="572"/>
      <c r="B6" s="521" t="s">
        <v>543</v>
      </c>
      <c r="C6" s="525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73"/>
      <c r="R6" s="572"/>
    </row>
    <row r="7" spans="1:18" s="37" customFormat="1" x14ac:dyDescent="0.25">
      <c r="A7" s="224"/>
      <c r="B7" s="224" t="s">
        <v>540</v>
      </c>
      <c r="C7" s="224"/>
      <c r="D7" s="569"/>
      <c r="E7" s="569"/>
      <c r="F7" s="569"/>
      <c r="G7" s="569">
        <v>0</v>
      </c>
      <c r="H7" s="569">
        <v>-71750</v>
      </c>
      <c r="I7" s="569"/>
      <c r="J7" s="569"/>
      <c r="K7" s="569"/>
      <c r="L7" s="569"/>
      <c r="M7" s="569"/>
      <c r="N7" s="569">
        <v>0</v>
      </c>
      <c r="O7" s="569">
        <v>0</v>
      </c>
      <c r="P7" s="569"/>
      <c r="Q7" s="569"/>
      <c r="R7" s="572"/>
    </row>
    <row r="8" spans="1:18" s="37" customFormat="1" x14ac:dyDescent="0.25">
      <c r="A8" s="224"/>
      <c r="B8" s="224" t="s">
        <v>537</v>
      </c>
      <c r="C8" s="224"/>
      <c r="D8" s="569"/>
      <c r="E8" s="569"/>
      <c r="F8" s="569"/>
      <c r="G8" s="569">
        <v>0</v>
      </c>
      <c r="H8" s="569">
        <v>0</v>
      </c>
      <c r="I8" s="569"/>
      <c r="J8" s="569"/>
      <c r="K8" s="569"/>
      <c r="L8" s="569"/>
      <c r="M8" s="569">
        <v>0</v>
      </c>
      <c r="N8" s="569">
        <v>0</v>
      </c>
      <c r="O8" s="569"/>
      <c r="P8" s="569"/>
      <c r="Q8" s="569"/>
      <c r="R8" s="572"/>
    </row>
    <row r="9" spans="1:18" s="37" customFormat="1" x14ac:dyDescent="0.25">
      <c r="A9" s="224"/>
      <c r="B9" s="224" t="s">
        <v>538</v>
      </c>
      <c r="C9" s="224"/>
      <c r="D9" s="569"/>
      <c r="E9" s="569"/>
      <c r="F9" s="569">
        <v>1416</v>
      </c>
      <c r="G9" s="569">
        <v>-404</v>
      </c>
      <c r="H9" s="569">
        <v>-404</v>
      </c>
      <c r="I9" s="569"/>
      <c r="J9" s="569"/>
      <c r="K9" s="569"/>
      <c r="L9" s="569"/>
      <c r="M9" s="569">
        <v>-404</v>
      </c>
      <c r="N9" s="569">
        <v>-204.33699999999999</v>
      </c>
      <c r="O9" s="569">
        <v>0</v>
      </c>
      <c r="P9" s="569"/>
      <c r="Q9" s="569"/>
      <c r="R9" s="572"/>
    </row>
    <row r="10" spans="1:18" s="37" customFormat="1" x14ac:dyDescent="0.25">
      <c r="A10" s="224"/>
      <c r="B10" s="224" t="s">
        <v>539</v>
      </c>
      <c r="C10" s="224"/>
      <c r="D10" s="569"/>
      <c r="E10" s="569"/>
      <c r="F10" s="569"/>
      <c r="G10" s="569">
        <v>0</v>
      </c>
      <c r="H10" s="569">
        <v>0</v>
      </c>
      <c r="I10" s="569"/>
      <c r="J10" s="569"/>
      <c r="K10" s="569"/>
      <c r="L10" s="569"/>
      <c r="M10" s="569">
        <v>0</v>
      </c>
      <c r="N10" s="569">
        <v>0</v>
      </c>
      <c r="O10" s="569">
        <v>0</v>
      </c>
      <c r="P10" s="569"/>
      <c r="Q10" s="569"/>
      <c r="R10" s="572"/>
    </row>
    <row r="11" spans="1:18" s="37" customFormat="1" x14ac:dyDescent="0.25">
      <c r="A11" s="224"/>
      <c r="B11" s="521" t="s">
        <v>104</v>
      </c>
      <c r="C11" s="224"/>
      <c r="D11" s="523">
        <f t="shared" ref="D11:Q11" si="0">SUM(D7:D10)</f>
        <v>0</v>
      </c>
      <c r="E11" s="523">
        <f t="shared" si="0"/>
        <v>0</v>
      </c>
      <c r="F11" s="523">
        <f t="shared" si="0"/>
        <v>1416</v>
      </c>
      <c r="G11" s="523">
        <f t="shared" si="0"/>
        <v>-404</v>
      </c>
      <c r="H11" s="523">
        <f t="shared" si="0"/>
        <v>-72154</v>
      </c>
      <c r="I11" s="523">
        <f t="shared" si="0"/>
        <v>0</v>
      </c>
      <c r="J11" s="523">
        <f t="shared" si="0"/>
        <v>0</v>
      </c>
      <c r="K11" s="523">
        <f t="shared" si="0"/>
        <v>0</v>
      </c>
      <c r="L11" s="523">
        <f t="shared" si="0"/>
        <v>0</v>
      </c>
      <c r="M11" s="523">
        <f t="shared" si="0"/>
        <v>-404</v>
      </c>
      <c r="N11" s="523">
        <f t="shared" si="0"/>
        <v>-204.33699999999999</v>
      </c>
      <c r="O11" s="523">
        <f t="shared" si="0"/>
        <v>0</v>
      </c>
      <c r="P11" s="523">
        <f t="shared" si="0"/>
        <v>0</v>
      </c>
      <c r="Q11" s="523">
        <f t="shared" si="0"/>
        <v>0</v>
      </c>
      <c r="R11" s="572"/>
    </row>
    <row r="12" spans="1:18" s="37" customFormat="1" x14ac:dyDescent="0.25">
      <c r="A12" s="224"/>
      <c r="B12" s="224"/>
      <c r="C12" s="224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572"/>
    </row>
    <row r="13" spans="1:18" s="19" customFormat="1" collapsed="1" x14ac:dyDescent="0.25">
      <c r="A13" s="535"/>
      <c r="B13" s="522" t="s">
        <v>174</v>
      </c>
      <c r="C13" s="224"/>
      <c r="D13" s="15">
        <f>CashFlow!D121-Debt!D11</f>
        <v>0</v>
      </c>
      <c r="E13" s="15">
        <f>CashFlow!E121-Debt!E11</f>
        <v>0</v>
      </c>
      <c r="F13" s="15">
        <f>CashFlow!F121-Debt!F11</f>
        <v>0</v>
      </c>
      <c r="G13" s="15">
        <f>CashFlow!G121-Debt!G11</f>
        <v>0</v>
      </c>
      <c r="H13" s="15">
        <f>CashFlow!H121-Debt!H11</f>
        <v>0</v>
      </c>
      <c r="I13" s="15">
        <f>CashFlow!I121-Debt!I11</f>
        <v>0</v>
      </c>
      <c r="J13" s="15">
        <f>CashFlow!J121-Debt!J11</f>
        <v>0</v>
      </c>
      <c r="K13" s="15">
        <f>CashFlow!K121-Debt!K11</f>
        <v>0</v>
      </c>
      <c r="L13" s="15">
        <f>CashFlow!L121-Debt!L11</f>
        <v>0</v>
      </c>
      <c r="M13" s="15">
        <f>CashFlow!M121-Debt!M11</f>
        <v>0</v>
      </c>
      <c r="N13" s="15">
        <f>CashFlow!N121-Debt!N11</f>
        <v>0</v>
      </c>
      <c r="O13" s="15">
        <f>CashFlow!O121-Debt!O11</f>
        <v>0</v>
      </c>
      <c r="P13" s="15">
        <f>CashFlow!P121-Debt!P11</f>
        <v>0.33699999999998909</v>
      </c>
      <c r="Q13" s="15">
        <f>CashFlow!Q121-Debt!Q11</f>
        <v>0</v>
      </c>
      <c r="R13" s="524"/>
    </row>
    <row r="14" spans="1:18" s="37" customFormat="1" x14ac:dyDescent="0.25">
      <c r="A14" s="521"/>
      <c r="B14" s="224"/>
      <c r="C14" s="224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572"/>
    </row>
    <row r="15" spans="1:18" s="37" customFormat="1" x14ac:dyDescent="0.25">
      <c r="A15" s="224"/>
      <c r="B15" s="521" t="s">
        <v>108</v>
      </c>
      <c r="C15" s="224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572"/>
    </row>
    <row r="16" spans="1:18" s="37" customFormat="1" x14ac:dyDescent="0.25">
      <c r="A16" s="224"/>
      <c r="B16" s="224" t="str">
        <f>B7</f>
        <v>Term Loan #1</v>
      </c>
      <c r="C16" s="224"/>
      <c r="D16" s="569">
        <v>71750</v>
      </c>
      <c r="E16" s="225">
        <f t="shared" ref="E16:O16" si="1">D16+E7</f>
        <v>71750</v>
      </c>
      <c r="F16" s="225">
        <f t="shared" si="1"/>
        <v>71750</v>
      </c>
      <c r="G16" s="225">
        <f t="shared" si="1"/>
        <v>71750</v>
      </c>
      <c r="H16" s="225">
        <f t="shared" si="1"/>
        <v>0</v>
      </c>
      <c r="I16" s="225">
        <f t="shared" si="1"/>
        <v>0</v>
      </c>
      <c r="J16" s="225">
        <f t="shared" si="1"/>
        <v>0</v>
      </c>
      <c r="K16" s="225">
        <f t="shared" si="1"/>
        <v>0</v>
      </c>
      <c r="L16" s="225">
        <f t="shared" si="1"/>
        <v>0</v>
      </c>
      <c r="M16" s="225">
        <f t="shared" si="1"/>
        <v>0</v>
      </c>
      <c r="N16" s="225">
        <f t="shared" si="1"/>
        <v>0</v>
      </c>
      <c r="O16" s="225">
        <f t="shared" si="1"/>
        <v>0</v>
      </c>
      <c r="P16" s="225"/>
      <c r="Q16" s="225"/>
      <c r="R16" s="572"/>
    </row>
    <row r="17" spans="1:18" s="37" customFormat="1" x14ac:dyDescent="0.25">
      <c r="A17" s="224"/>
      <c r="B17" s="224" t="str">
        <f>B8</f>
        <v>Senior Notes</v>
      </c>
      <c r="C17" s="224"/>
      <c r="D17" s="569">
        <v>235000</v>
      </c>
      <c r="E17" s="225">
        <f t="shared" ref="E17:O17" si="2">D17+E8</f>
        <v>235000</v>
      </c>
      <c r="F17" s="225">
        <f t="shared" si="2"/>
        <v>235000</v>
      </c>
      <c r="G17" s="225">
        <f t="shared" si="2"/>
        <v>235000</v>
      </c>
      <c r="H17" s="225">
        <f t="shared" si="2"/>
        <v>235000</v>
      </c>
      <c r="I17" s="225">
        <f t="shared" si="2"/>
        <v>235000</v>
      </c>
      <c r="J17" s="225">
        <f t="shared" si="2"/>
        <v>235000</v>
      </c>
      <c r="K17" s="225">
        <f t="shared" si="2"/>
        <v>235000</v>
      </c>
      <c r="L17" s="225">
        <f t="shared" si="2"/>
        <v>235000</v>
      </c>
      <c r="M17" s="225">
        <f t="shared" si="2"/>
        <v>235000</v>
      </c>
      <c r="N17" s="225">
        <f t="shared" si="2"/>
        <v>235000</v>
      </c>
      <c r="O17" s="225">
        <f t="shared" si="2"/>
        <v>235000</v>
      </c>
      <c r="P17" s="225">
        <f>O17+P8</f>
        <v>235000</v>
      </c>
      <c r="Q17" s="225">
        <f>P17+Q8</f>
        <v>235000</v>
      </c>
      <c r="R17" s="572"/>
    </row>
    <row r="18" spans="1:18" s="37" customFormat="1" x14ac:dyDescent="0.25">
      <c r="A18" s="224"/>
      <c r="B18" s="224" t="str">
        <f>B9</f>
        <v>Term Loan #2</v>
      </c>
      <c r="C18" s="224"/>
      <c r="D18" s="569"/>
      <c r="E18" s="225"/>
      <c r="F18" s="225">
        <f t="shared" ref="F18:O18" si="3">E18+F9</f>
        <v>1416</v>
      </c>
      <c r="G18" s="225">
        <f t="shared" si="3"/>
        <v>1012</v>
      </c>
      <c r="H18" s="225">
        <f t="shared" si="3"/>
        <v>608</v>
      </c>
      <c r="I18" s="225">
        <f t="shared" si="3"/>
        <v>608</v>
      </c>
      <c r="J18" s="225">
        <f t="shared" si="3"/>
        <v>608</v>
      </c>
      <c r="K18" s="225">
        <f t="shared" si="3"/>
        <v>608</v>
      </c>
      <c r="L18" s="225">
        <f t="shared" si="3"/>
        <v>608</v>
      </c>
      <c r="M18" s="225">
        <f t="shared" si="3"/>
        <v>204</v>
      </c>
      <c r="N18" s="225">
        <f t="shared" si="3"/>
        <v>-0.33699999999998909</v>
      </c>
      <c r="O18" s="225">
        <f t="shared" si="3"/>
        <v>-0.33699999999998909</v>
      </c>
      <c r="P18" s="225"/>
      <c r="Q18" s="225"/>
      <c r="R18" s="572"/>
    </row>
    <row r="19" spans="1:18" s="37" customFormat="1" x14ac:dyDescent="0.25">
      <c r="A19" s="224"/>
      <c r="B19" s="224" t="str">
        <f>B10</f>
        <v>Term Loan #3</v>
      </c>
      <c r="C19" s="224"/>
      <c r="D19" s="569"/>
      <c r="E19" s="225"/>
      <c r="F19" s="225">
        <v>0</v>
      </c>
      <c r="G19" s="225">
        <f t="shared" ref="G19:O19" si="4">F19+G10</f>
        <v>0</v>
      </c>
      <c r="H19" s="225">
        <f t="shared" si="4"/>
        <v>0</v>
      </c>
      <c r="I19" s="225">
        <f t="shared" si="4"/>
        <v>0</v>
      </c>
      <c r="J19" s="225">
        <f t="shared" si="4"/>
        <v>0</v>
      </c>
      <c r="K19" s="225">
        <f t="shared" si="4"/>
        <v>0</v>
      </c>
      <c r="L19" s="225">
        <f t="shared" si="4"/>
        <v>0</v>
      </c>
      <c r="M19" s="225">
        <f t="shared" si="4"/>
        <v>0</v>
      </c>
      <c r="N19" s="225">
        <f t="shared" si="4"/>
        <v>0</v>
      </c>
      <c r="O19" s="225">
        <f t="shared" si="4"/>
        <v>0</v>
      </c>
      <c r="P19" s="225"/>
      <c r="Q19" s="225"/>
      <c r="R19" s="572"/>
    </row>
    <row r="20" spans="1:18" s="37" customFormat="1" x14ac:dyDescent="0.25">
      <c r="A20" s="224"/>
      <c r="B20" s="521" t="s">
        <v>109</v>
      </c>
      <c r="C20" s="224"/>
      <c r="D20" s="523">
        <f t="shared" ref="D20:I20" si="5">SUM(D16:D19)</f>
        <v>306750</v>
      </c>
      <c r="E20" s="523">
        <f t="shared" si="5"/>
        <v>306750</v>
      </c>
      <c r="F20" s="523">
        <f t="shared" si="5"/>
        <v>308166</v>
      </c>
      <c r="G20" s="523">
        <f t="shared" si="5"/>
        <v>307762</v>
      </c>
      <c r="H20" s="523">
        <f t="shared" si="5"/>
        <v>235608</v>
      </c>
      <c r="I20" s="523">
        <f t="shared" si="5"/>
        <v>235608</v>
      </c>
      <c r="J20" s="523">
        <f>I20+J11</f>
        <v>235608</v>
      </c>
      <c r="K20" s="523">
        <f t="shared" ref="K20:Q20" si="6">SUM(K16:K19)</f>
        <v>235608</v>
      </c>
      <c r="L20" s="523">
        <f t="shared" si="6"/>
        <v>235608</v>
      </c>
      <c r="M20" s="523">
        <f t="shared" si="6"/>
        <v>235204</v>
      </c>
      <c r="N20" s="523">
        <f t="shared" si="6"/>
        <v>234999.663</v>
      </c>
      <c r="O20" s="523">
        <f t="shared" si="6"/>
        <v>234999.663</v>
      </c>
      <c r="P20" s="523">
        <f t="shared" si="6"/>
        <v>235000</v>
      </c>
      <c r="Q20" s="523">
        <f t="shared" si="6"/>
        <v>235000</v>
      </c>
      <c r="R20" s="572"/>
    </row>
    <row r="21" spans="1:18" s="37" customFormat="1" x14ac:dyDescent="0.25">
      <c r="A21" s="224"/>
      <c r="B21" s="224"/>
      <c r="C21" s="224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572"/>
    </row>
    <row r="22" spans="1:18" s="19" customFormat="1" collapsed="1" x14ac:dyDescent="0.25">
      <c r="A22" s="535"/>
      <c r="B22" s="522" t="s">
        <v>173</v>
      </c>
      <c r="C22" s="224"/>
      <c r="D22" s="15">
        <f>BalSheet!D97-Debt!D20</f>
        <v>0</v>
      </c>
      <c r="E22" s="15">
        <f>BalSheet!E97-Debt!E20</f>
        <v>0</v>
      </c>
      <c r="F22" s="15">
        <f>BalSheet!F97-Debt!F20</f>
        <v>0</v>
      </c>
      <c r="G22" s="15">
        <f>BalSheet!G97-Debt!G20</f>
        <v>0</v>
      </c>
      <c r="H22" s="15">
        <f>BalSheet!H97-Debt!H20</f>
        <v>0</v>
      </c>
      <c r="I22" s="15">
        <f>BalSheet!I97-Debt!I20</f>
        <v>0</v>
      </c>
      <c r="J22" s="15">
        <f>BalSheet!J97-Debt!J20</f>
        <v>0</v>
      </c>
      <c r="K22" s="15">
        <f>BalSheet!K97-Debt!K20</f>
        <v>0</v>
      </c>
      <c r="L22" s="15">
        <f>BalSheet!L97-Debt!L20</f>
        <v>0</v>
      </c>
      <c r="M22" s="15">
        <f>BalSheet!M97-Debt!M20</f>
        <v>0</v>
      </c>
      <c r="N22" s="15">
        <f>BalSheet!N97-Debt!N20</f>
        <v>0</v>
      </c>
      <c r="O22" s="15">
        <f>BalSheet!O97-Debt!O20</f>
        <v>0</v>
      </c>
      <c r="P22" s="15">
        <f>BalSheet!P97-Debt!P20</f>
        <v>0</v>
      </c>
      <c r="Q22" s="15">
        <f>BalSheet!Q97-Debt!Q20</f>
        <v>0</v>
      </c>
      <c r="R22" s="524"/>
    </row>
    <row r="23" spans="1:18" s="37" customFormat="1" x14ac:dyDescent="0.25">
      <c r="A23" s="224"/>
      <c r="B23" s="224"/>
      <c r="C23" s="224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4"/>
    </row>
    <row r="24" spans="1:18" s="37" customFormat="1" x14ac:dyDescent="0.25">
      <c r="A24" s="224"/>
      <c r="B24" s="521" t="s">
        <v>105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572"/>
    </row>
    <row r="25" spans="1:18" s="37" customFormat="1" x14ac:dyDescent="0.25">
      <c r="A25" s="224"/>
      <c r="B25" s="224" t="str">
        <f>B7</f>
        <v>Term Loan #1</v>
      </c>
      <c r="C25" s="224"/>
      <c r="D25" s="520">
        <v>31592.244999999999</v>
      </c>
      <c r="E25" s="520">
        <v>32788.678</v>
      </c>
      <c r="F25" s="520">
        <v>35255</v>
      </c>
      <c r="G25" s="570">
        <v>2769.931</v>
      </c>
      <c r="H25" s="569">
        <v>345.29687500000006</v>
      </c>
      <c r="I25" s="569">
        <v>0</v>
      </c>
      <c r="J25" s="569">
        <v>0</v>
      </c>
      <c r="K25" s="569">
        <v>0</v>
      </c>
      <c r="L25" s="569">
        <v>0</v>
      </c>
      <c r="M25" s="569">
        <v>0</v>
      </c>
      <c r="N25" s="569">
        <v>0</v>
      </c>
      <c r="O25" s="569">
        <v>0</v>
      </c>
      <c r="P25" s="569"/>
      <c r="Q25" s="569"/>
      <c r="R25" s="572"/>
    </row>
    <row r="26" spans="1:18" s="37" customFormat="1" x14ac:dyDescent="0.25">
      <c r="A26" s="224"/>
      <c r="B26" s="224" t="str">
        <f>B8</f>
        <v>Senior Notes</v>
      </c>
      <c r="C26" s="224"/>
      <c r="D26" s="569"/>
      <c r="E26" s="569"/>
      <c r="F26" s="569"/>
      <c r="G26" s="569">
        <v>19681.25</v>
      </c>
      <c r="H26" s="569">
        <v>19681.25</v>
      </c>
      <c r="I26" s="569">
        <f>M26/4</f>
        <v>4920.3125</v>
      </c>
      <c r="J26" s="569">
        <f>M26/4</f>
        <v>4920.3125</v>
      </c>
      <c r="K26" s="569">
        <f>M26/4</f>
        <v>4920.3125</v>
      </c>
      <c r="L26" s="569">
        <f>M26/4</f>
        <v>4920.3125</v>
      </c>
      <c r="M26" s="569">
        <v>19681.25</v>
      </c>
      <c r="N26" s="569">
        <v>19681.25</v>
      </c>
      <c r="O26" s="569">
        <v>19681.25</v>
      </c>
      <c r="P26" s="569">
        <v>19681.25</v>
      </c>
      <c r="Q26" s="569">
        <v>19681.25</v>
      </c>
      <c r="R26" s="572"/>
    </row>
    <row r="27" spans="1:18" s="37" customFormat="1" x14ac:dyDescent="0.25">
      <c r="A27" s="224"/>
      <c r="B27" s="224" t="str">
        <f>B9</f>
        <v>Term Loan #2</v>
      </c>
      <c r="C27" s="224"/>
      <c r="D27" s="569"/>
      <c r="E27" s="569"/>
      <c r="F27" s="569"/>
      <c r="G27" s="569">
        <v>297.05465112499996</v>
      </c>
      <c r="H27" s="569">
        <v>339.25650000000002</v>
      </c>
      <c r="I27" s="569">
        <v>14.221795</v>
      </c>
      <c r="J27" s="569">
        <v>14.221795</v>
      </c>
      <c r="K27" s="569">
        <v>14.221795</v>
      </c>
      <c r="L27" s="569">
        <v>14.221795</v>
      </c>
      <c r="M27" s="569">
        <v>14.221795</v>
      </c>
      <c r="N27" s="569">
        <v>0</v>
      </c>
      <c r="O27" s="569">
        <v>0</v>
      </c>
      <c r="P27" s="569"/>
      <c r="Q27" s="569"/>
      <c r="R27" s="572"/>
    </row>
    <row r="28" spans="1:18" s="37" customFormat="1" x14ac:dyDescent="0.25">
      <c r="A28" s="224"/>
      <c r="B28" s="224" t="str">
        <f>B10</f>
        <v>Term Loan #3</v>
      </c>
      <c r="C28" s="224"/>
      <c r="D28" s="569"/>
      <c r="E28" s="569"/>
      <c r="F28" s="569"/>
      <c r="G28" s="569">
        <v>0</v>
      </c>
      <c r="H28" s="569">
        <v>0</v>
      </c>
      <c r="I28" s="569">
        <v>0</v>
      </c>
      <c r="J28" s="569">
        <v>0</v>
      </c>
      <c r="K28" s="569">
        <v>0</v>
      </c>
      <c r="L28" s="569">
        <v>0</v>
      </c>
      <c r="M28" s="569">
        <v>0</v>
      </c>
      <c r="N28" s="569">
        <v>0</v>
      </c>
      <c r="O28" s="569">
        <v>0</v>
      </c>
      <c r="P28" s="569"/>
      <c r="Q28" s="569"/>
      <c r="R28" s="572"/>
    </row>
    <row r="29" spans="1:18" s="37" customFormat="1" x14ac:dyDescent="0.25">
      <c r="A29" s="224"/>
      <c r="B29" s="521" t="s">
        <v>106</v>
      </c>
      <c r="C29" s="224"/>
      <c r="D29" s="523">
        <f t="shared" ref="D29:Q29" si="7">SUM(D25:D28)</f>
        <v>31592.244999999999</v>
      </c>
      <c r="E29" s="523">
        <f t="shared" si="7"/>
        <v>32788.678</v>
      </c>
      <c r="F29" s="523">
        <f t="shared" si="7"/>
        <v>35255</v>
      </c>
      <c r="G29" s="523">
        <f t="shared" si="7"/>
        <v>22748.235651125</v>
      </c>
      <c r="H29" s="523">
        <f t="shared" si="7"/>
        <v>20365.803375</v>
      </c>
      <c r="I29" s="523">
        <f t="shared" si="7"/>
        <v>4934.5342950000004</v>
      </c>
      <c r="J29" s="523">
        <f t="shared" si="7"/>
        <v>4934.5342950000004</v>
      </c>
      <c r="K29" s="523">
        <f t="shared" si="7"/>
        <v>4934.5342950000004</v>
      </c>
      <c r="L29" s="523">
        <f t="shared" si="7"/>
        <v>4934.5342950000004</v>
      </c>
      <c r="M29" s="523">
        <f t="shared" si="7"/>
        <v>19695.471795000001</v>
      </c>
      <c r="N29" s="523">
        <f t="shared" si="7"/>
        <v>19681.25</v>
      </c>
      <c r="O29" s="523">
        <f t="shared" si="7"/>
        <v>19681.25</v>
      </c>
      <c r="P29" s="523">
        <f t="shared" si="7"/>
        <v>19681.25</v>
      </c>
      <c r="Q29" s="523">
        <f t="shared" si="7"/>
        <v>19681.25</v>
      </c>
      <c r="R29" s="572"/>
    </row>
    <row r="30" spans="1:18" s="474" customFormat="1" x14ac:dyDescent="0.25">
      <c r="D30" s="146"/>
      <c r="E30" s="146"/>
      <c r="F30" s="146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</row>
    <row r="31" spans="1:18" s="69" customFormat="1" x14ac:dyDescent="0.25">
      <c r="A31" s="527" t="s">
        <v>483</v>
      </c>
      <c r="B31" s="528"/>
      <c r="C31" s="529"/>
      <c r="D31" s="529"/>
      <c r="E31" s="529"/>
      <c r="F31" s="529"/>
      <c r="G31" s="529"/>
      <c r="H31" s="529"/>
      <c r="I31" s="529"/>
      <c r="J31" s="529"/>
      <c r="K31" s="529"/>
      <c r="L31" s="529"/>
      <c r="M31" s="529"/>
      <c r="N31" s="529"/>
      <c r="O31" s="529"/>
      <c r="P31" s="528"/>
      <c r="Q31" s="529"/>
      <c r="R31" s="571"/>
    </row>
    <row r="32" spans="1:18" s="69" customFormat="1" x14ac:dyDescent="0.25">
      <c r="A32" s="528"/>
      <c r="B32" s="527" t="s">
        <v>484</v>
      </c>
      <c r="C32" s="529"/>
      <c r="D32" s="529"/>
      <c r="E32" s="529"/>
      <c r="F32" s="529"/>
      <c r="G32" s="529"/>
      <c r="H32" s="529"/>
      <c r="I32" s="529"/>
      <c r="J32" s="529"/>
      <c r="K32" s="529"/>
      <c r="L32" s="529"/>
      <c r="M32" s="529"/>
      <c r="N32" s="529"/>
      <c r="O32" s="529"/>
      <c r="P32" s="529"/>
      <c r="Q32" s="529"/>
      <c r="R32" s="571"/>
    </row>
    <row r="33" spans="1:18" s="69" customFormat="1" x14ac:dyDescent="0.25">
      <c r="A33" s="528"/>
      <c r="B33" s="528" t="s">
        <v>541</v>
      </c>
      <c r="C33" s="528"/>
      <c r="D33" s="569"/>
      <c r="E33" s="569"/>
      <c r="F33" s="569">
        <v>0</v>
      </c>
      <c r="G33" s="569">
        <v>18250</v>
      </c>
      <c r="H33" s="569">
        <v>-8250</v>
      </c>
      <c r="I33" s="569"/>
      <c r="J33" s="569"/>
      <c r="K33" s="569"/>
      <c r="L33" s="569"/>
      <c r="M33" s="569"/>
      <c r="N33" s="569"/>
      <c r="O33" s="569"/>
      <c r="P33" s="569"/>
      <c r="Q33" s="569"/>
      <c r="R33" s="571"/>
    </row>
    <row r="34" spans="1:18" s="69" customFormat="1" x14ac:dyDescent="0.25">
      <c r="A34" s="528"/>
      <c r="B34" s="528" t="s">
        <v>542</v>
      </c>
      <c r="C34" s="528"/>
      <c r="D34" s="569"/>
      <c r="E34" s="569"/>
      <c r="F34" s="569">
        <v>2629.5790000000002</v>
      </c>
      <c r="G34" s="569">
        <f>-1642+250</f>
        <v>-1392</v>
      </c>
      <c r="H34" s="569">
        <v>1135</v>
      </c>
      <c r="I34" s="569"/>
      <c r="J34" s="569"/>
      <c r="K34" s="569"/>
      <c r="L34" s="569"/>
      <c r="M34" s="569"/>
      <c r="N34" s="569"/>
      <c r="O34" s="569"/>
      <c r="P34" s="569"/>
      <c r="Q34" s="569"/>
      <c r="R34" s="571"/>
    </row>
    <row r="35" spans="1:18" s="69" customFormat="1" x14ac:dyDescent="0.25">
      <c r="A35" s="528"/>
      <c r="B35" s="527" t="s">
        <v>171</v>
      </c>
      <c r="C35" s="533"/>
      <c r="D35" s="533">
        <f t="shared" ref="D35:Q35" si="8">SUM(D33:D34)</f>
        <v>0</v>
      </c>
      <c r="E35" s="533">
        <f t="shared" si="8"/>
        <v>0</v>
      </c>
      <c r="F35" s="533">
        <f t="shared" si="8"/>
        <v>2629.5790000000002</v>
      </c>
      <c r="G35" s="533">
        <f t="shared" si="8"/>
        <v>16858</v>
      </c>
      <c r="H35" s="533">
        <f t="shared" si="8"/>
        <v>-7115</v>
      </c>
      <c r="I35" s="533">
        <f t="shared" si="8"/>
        <v>0</v>
      </c>
      <c r="J35" s="533">
        <f t="shared" si="8"/>
        <v>0</v>
      </c>
      <c r="K35" s="533">
        <f t="shared" si="8"/>
        <v>0</v>
      </c>
      <c r="L35" s="533">
        <f t="shared" si="8"/>
        <v>0</v>
      </c>
      <c r="M35" s="533">
        <f t="shared" si="8"/>
        <v>0</v>
      </c>
      <c r="N35" s="533">
        <f t="shared" si="8"/>
        <v>0</v>
      </c>
      <c r="O35" s="533">
        <f t="shared" si="8"/>
        <v>0</v>
      </c>
      <c r="P35" s="533">
        <f t="shared" si="8"/>
        <v>0</v>
      </c>
      <c r="Q35" s="533">
        <f t="shared" si="8"/>
        <v>0</v>
      </c>
      <c r="R35" s="533"/>
    </row>
    <row r="36" spans="1:18" s="37" customFormat="1" x14ac:dyDescent="0.25">
      <c r="A36" s="531"/>
      <c r="B36" s="531"/>
      <c r="C36" s="531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  <c r="R36" s="571"/>
    </row>
    <row r="37" spans="1:18" s="69" customFormat="1" x14ac:dyDescent="0.25">
      <c r="A37" s="528"/>
      <c r="B37" s="532" t="s">
        <v>173</v>
      </c>
      <c r="C37" s="528"/>
      <c r="D37" s="15">
        <f>BalSheet!D72-Debt!D35</f>
        <v>0</v>
      </c>
      <c r="E37" s="15">
        <f>BalSheet!E72-Debt!E35</f>
        <v>0</v>
      </c>
      <c r="F37" s="15">
        <f>BalSheet!F72-Debt!F35</f>
        <v>0</v>
      </c>
      <c r="G37" s="15">
        <f>BalSheet!G72-Debt!G35</f>
        <v>0</v>
      </c>
      <c r="H37" s="15">
        <f>BalSheet!H72-Debt!H35</f>
        <v>0</v>
      </c>
      <c r="I37" s="15">
        <f>BalSheet!I72-Debt!I35</f>
        <v>0</v>
      </c>
      <c r="J37" s="15">
        <f>BalSheet!J72-Debt!J35</f>
        <v>0</v>
      </c>
      <c r="K37" s="15">
        <f>BalSheet!K72-Debt!K35</f>
        <v>0</v>
      </c>
      <c r="L37" s="15">
        <f>BalSheet!L72-Debt!L35</f>
        <v>0</v>
      </c>
      <c r="M37" s="15">
        <f>BalSheet!M72-Debt!M35</f>
        <v>0</v>
      </c>
      <c r="N37" s="15">
        <f>BalSheet!N72-Debt!N35</f>
        <v>0</v>
      </c>
      <c r="O37" s="15">
        <f>BalSheet!O72-Debt!O35</f>
        <v>0</v>
      </c>
      <c r="P37" s="15">
        <f>BalSheet!P72-Debt!P35</f>
        <v>0</v>
      </c>
      <c r="Q37" s="15">
        <f>BalSheet!Q72-Debt!Q35</f>
        <v>0</v>
      </c>
      <c r="R37" s="530"/>
    </row>
    <row r="38" spans="1:18" s="69" customFormat="1" x14ac:dyDescent="0.25">
      <c r="A38" s="528"/>
      <c r="B38" s="528"/>
      <c r="C38" s="528"/>
      <c r="D38" s="529"/>
      <c r="E38" s="529"/>
      <c r="F38" s="529"/>
      <c r="G38" s="529"/>
      <c r="H38" s="529"/>
      <c r="I38" s="529"/>
      <c r="J38" s="529"/>
      <c r="K38" s="529"/>
      <c r="L38" s="529"/>
      <c r="M38" s="529"/>
      <c r="N38" s="529"/>
      <c r="O38" s="529"/>
      <c r="P38" s="529"/>
      <c r="Q38" s="529"/>
      <c r="R38" s="571"/>
    </row>
    <row r="39" spans="1:18" s="69" customFormat="1" x14ac:dyDescent="0.25">
      <c r="A39" s="528"/>
      <c r="B39" s="527" t="s">
        <v>485</v>
      </c>
      <c r="C39" s="528"/>
      <c r="D39" s="529"/>
      <c r="E39" s="529"/>
      <c r="F39" s="529"/>
      <c r="G39" s="529"/>
      <c r="H39" s="529"/>
      <c r="I39" s="529"/>
      <c r="J39" s="529"/>
      <c r="K39" s="529"/>
      <c r="L39" s="529"/>
      <c r="M39" s="529"/>
      <c r="N39" s="529"/>
      <c r="O39" s="529"/>
      <c r="P39" s="529"/>
      <c r="Q39" s="529"/>
      <c r="R39" s="571"/>
    </row>
    <row r="40" spans="1:18" s="69" customFormat="1" x14ac:dyDescent="0.25">
      <c r="A40" s="528"/>
      <c r="B40" s="528" t="str">
        <f>B33</f>
        <v>Revolver</v>
      </c>
      <c r="C40" s="528"/>
      <c r="D40" s="569">
        <v>729.07899999999995</v>
      </c>
      <c r="E40" s="569">
        <v>3232.6219999999998</v>
      </c>
      <c r="F40" s="569">
        <v>1868.018</v>
      </c>
      <c r="G40" s="569">
        <v>303.11349999999999</v>
      </c>
      <c r="H40" s="569">
        <v>485.390625</v>
      </c>
      <c r="I40" s="569">
        <v>400</v>
      </c>
      <c r="J40" s="569">
        <v>400</v>
      </c>
      <c r="K40" s="569">
        <v>400</v>
      </c>
      <c r="L40" s="569">
        <v>400</v>
      </c>
      <c r="M40" s="569">
        <v>400</v>
      </c>
      <c r="N40" s="569">
        <v>450</v>
      </c>
      <c r="O40" s="569">
        <v>500</v>
      </c>
      <c r="P40" s="569"/>
      <c r="Q40" s="569"/>
      <c r="R40" s="571"/>
    </row>
    <row r="41" spans="1:18" s="69" customFormat="1" x14ac:dyDescent="0.25">
      <c r="A41" s="528"/>
      <c r="B41" s="528" t="str">
        <f>B34</f>
        <v>Line of Credit</v>
      </c>
      <c r="C41" s="528"/>
      <c r="D41" s="569">
        <v>5909.0530000000008</v>
      </c>
      <c r="E41" s="569">
        <v>4664.7150000000001</v>
      </c>
      <c r="F41" s="569">
        <v>1842.751</v>
      </c>
      <c r="G41" s="569">
        <v>330.37200000000001</v>
      </c>
      <c r="H41" s="569">
        <v>117.42247500000002</v>
      </c>
      <c r="I41" s="569">
        <v>118.62895000000002</v>
      </c>
      <c r="J41" s="569">
        <v>118.62895000000002</v>
      </c>
      <c r="K41" s="569">
        <v>118.62895000000002</v>
      </c>
      <c r="L41" s="569">
        <v>118.62895000000002</v>
      </c>
      <c r="M41" s="569">
        <v>118.62895000000002</v>
      </c>
      <c r="N41" s="569">
        <v>118.62895000000002</v>
      </c>
      <c r="O41" s="569">
        <v>118.62895000000002</v>
      </c>
      <c r="P41" s="569"/>
      <c r="Q41" s="569"/>
      <c r="R41" s="571"/>
    </row>
    <row r="42" spans="1:18" s="69" customFormat="1" x14ac:dyDescent="0.25">
      <c r="A42" s="528"/>
      <c r="B42" s="527" t="s">
        <v>486</v>
      </c>
      <c r="C42" s="528"/>
      <c r="D42" s="533">
        <f t="shared" ref="D42:O42" si="9">SUM(D40:D41)</f>
        <v>6638.1320000000005</v>
      </c>
      <c r="E42" s="533">
        <f t="shared" si="9"/>
        <v>7897.3369999999995</v>
      </c>
      <c r="F42" s="533">
        <f t="shared" si="9"/>
        <v>3710.7690000000002</v>
      </c>
      <c r="G42" s="533">
        <f t="shared" si="9"/>
        <v>633.4855</v>
      </c>
      <c r="H42" s="533">
        <f t="shared" si="9"/>
        <v>602.81310000000008</v>
      </c>
      <c r="I42" s="533">
        <f t="shared" si="9"/>
        <v>518.62895000000003</v>
      </c>
      <c r="J42" s="533">
        <f t="shared" si="9"/>
        <v>518.62895000000003</v>
      </c>
      <c r="K42" s="533">
        <f t="shared" si="9"/>
        <v>518.62895000000003</v>
      </c>
      <c r="L42" s="533">
        <f t="shared" si="9"/>
        <v>518.62895000000003</v>
      </c>
      <c r="M42" s="533">
        <f t="shared" si="9"/>
        <v>518.62895000000003</v>
      </c>
      <c r="N42" s="533">
        <f t="shared" si="9"/>
        <v>568.62895000000003</v>
      </c>
      <c r="O42" s="533">
        <f t="shared" si="9"/>
        <v>618.62895000000003</v>
      </c>
      <c r="P42" s="529"/>
      <c r="Q42" s="529"/>
      <c r="R42" s="571"/>
    </row>
    <row r="43" spans="1:18" s="69" customFormat="1" x14ac:dyDescent="0.25"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474"/>
    </row>
    <row r="44" spans="1:18" s="14" customFormat="1" x14ac:dyDescent="0.25">
      <c r="A44" s="536" t="s">
        <v>170</v>
      </c>
      <c r="B44" s="537"/>
      <c r="C44" s="574"/>
      <c r="D44" s="227">
        <f t="shared" ref="D44:Q44" si="10">SUM(D29,D42)</f>
        <v>38230.377</v>
      </c>
      <c r="E44" s="227">
        <f t="shared" si="10"/>
        <v>40686.014999999999</v>
      </c>
      <c r="F44" s="227">
        <f t="shared" si="10"/>
        <v>38965.769</v>
      </c>
      <c r="G44" s="227">
        <f t="shared" si="10"/>
        <v>23381.721151124999</v>
      </c>
      <c r="H44" s="227">
        <f t="shared" si="10"/>
        <v>20968.616474999999</v>
      </c>
      <c r="I44" s="227">
        <f t="shared" si="10"/>
        <v>5453.1632450000006</v>
      </c>
      <c r="J44" s="227">
        <f t="shared" si="10"/>
        <v>5453.1632450000006</v>
      </c>
      <c r="K44" s="227">
        <f t="shared" si="10"/>
        <v>5453.1632450000006</v>
      </c>
      <c r="L44" s="227">
        <f t="shared" si="10"/>
        <v>5453.1632450000006</v>
      </c>
      <c r="M44" s="227">
        <f t="shared" si="10"/>
        <v>20214.100745</v>
      </c>
      <c r="N44" s="227">
        <f t="shared" si="10"/>
        <v>20249.878949999998</v>
      </c>
      <c r="O44" s="227">
        <f t="shared" si="10"/>
        <v>20299.878949999998</v>
      </c>
      <c r="P44" s="227">
        <f t="shared" si="10"/>
        <v>19681.25</v>
      </c>
      <c r="Q44" s="227">
        <f t="shared" si="10"/>
        <v>19681.25</v>
      </c>
      <c r="R44" s="574"/>
    </row>
    <row r="45" spans="1:18" s="37" customFormat="1" x14ac:dyDescent="0.25">
      <c r="A45" s="538"/>
      <c r="B45" s="538"/>
      <c r="C45" s="538"/>
      <c r="D45" s="542"/>
      <c r="E45" s="542"/>
      <c r="F45" s="542"/>
      <c r="G45" s="542"/>
      <c r="H45" s="542"/>
      <c r="I45" s="542"/>
      <c r="J45" s="542"/>
      <c r="K45" s="542"/>
      <c r="L45" s="542"/>
      <c r="M45" s="542"/>
      <c r="N45" s="542"/>
      <c r="O45" s="542"/>
      <c r="P45" s="542"/>
      <c r="Q45" s="542"/>
      <c r="R45" s="574"/>
    </row>
    <row r="46" spans="1:18" s="69" customFormat="1" x14ac:dyDescent="0.25">
      <c r="A46" s="539"/>
      <c r="B46" s="540" t="s">
        <v>172</v>
      </c>
      <c r="C46" s="539"/>
      <c r="D46" s="15">
        <f>'P&amp;L'!D50-D44</f>
        <v>0</v>
      </c>
      <c r="E46" s="15">
        <f>'P&amp;L'!E50-E44</f>
        <v>0</v>
      </c>
      <c r="F46" s="15">
        <f>'P&amp;L'!F50-F44</f>
        <v>0</v>
      </c>
      <c r="G46" s="15">
        <f>'P&amp;L'!G50-G44</f>
        <v>0</v>
      </c>
      <c r="H46" s="15">
        <f>'P&amp;L'!H50-H44</f>
        <v>0</v>
      </c>
      <c r="I46" s="15">
        <f>'P&amp;L'!I50-I44</f>
        <v>0</v>
      </c>
      <c r="J46" s="15">
        <f>'P&amp;L'!J50-J44</f>
        <v>0</v>
      </c>
      <c r="K46" s="15">
        <f>'P&amp;L'!K50-K44</f>
        <v>0</v>
      </c>
      <c r="L46" s="15">
        <f>'P&amp;L'!L50-L44</f>
        <v>0</v>
      </c>
      <c r="M46" s="15">
        <f>'P&amp;L'!M50-M44</f>
        <v>0</v>
      </c>
      <c r="N46" s="15">
        <f>'P&amp;L'!N50-N44</f>
        <v>0</v>
      </c>
      <c r="O46" s="15">
        <f>'P&amp;L'!O50-O44</f>
        <v>0</v>
      </c>
      <c r="P46" s="15">
        <f>'P&amp;L'!P50-P44</f>
        <v>0</v>
      </c>
      <c r="Q46" s="15">
        <f>'P&amp;L'!Q50-Q44</f>
        <v>0</v>
      </c>
      <c r="R46" s="541"/>
    </row>
    <row r="47" spans="1:18" s="69" customFormat="1" x14ac:dyDescent="0.25">
      <c r="A47" s="539"/>
      <c r="B47" s="539"/>
      <c r="C47" s="539"/>
      <c r="D47" s="542"/>
      <c r="E47" s="542"/>
      <c r="F47" s="542"/>
      <c r="G47" s="542"/>
      <c r="H47" s="542"/>
      <c r="I47" s="542"/>
      <c r="J47" s="542"/>
      <c r="K47" s="542"/>
      <c r="L47" s="542"/>
      <c r="M47" s="542"/>
      <c r="N47" s="542"/>
      <c r="O47" s="542"/>
      <c r="P47" s="542"/>
      <c r="Q47" s="542"/>
      <c r="R47" s="541"/>
    </row>
    <row r="48" spans="1:18" s="69" customFormat="1" x14ac:dyDescent="0.25"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</row>
    <row r="50" spans="1:18" s="14" customForma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47"/>
    </row>
    <row r="51" spans="1:18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</row>
    <row r="52" spans="1:18" x14ac:dyDescent="0.25">
      <c r="A52" s="47"/>
      <c r="B52" s="47"/>
      <c r="C52" s="47"/>
    </row>
    <row r="53" spans="1:18" x14ac:dyDescent="0.25">
      <c r="A53" s="47"/>
      <c r="B53" s="47"/>
      <c r="C53" s="47"/>
    </row>
  </sheetData>
  <sheetProtection algorithmName="SHA-512" hashValue="W7O4RMsJcn1d2xT8bwigFGhSUezl6xPcY5ideABjW4QE1lrZz18Z59vwHCtDo3sUVa3TURBHJ0NO4/OBaMVvTA==" saltValue="O6ddD31E7TYloIYT1OeT2Q==" spinCount="100000" sheet="1" objects="1" scenarios="1"/>
  <conditionalFormatting sqref="D46:Q46 D37:Q37 D22:Q22 D13:Q13">
    <cfRule type="cellIs" dxfId="9" priority="5" operator="notBetween">
      <formula>-1</formula>
      <formula>1</formula>
    </cfRule>
  </conditionalFormatting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499984740745262"/>
  </sheetPr>
  <dimension ref="A1:Z137"/>
  <sheetViews>
    <sheetView zoomScale="85" zoomScaleNormal="85" workbookViewId="0">
      <pane ySplit="3" topLeftCell="A4" activePane="bottomLeft" state="frozenSplit"/>
      <selection pane="bottomLeft"/>
    </sheetView>
  </sheetViews>
  <sheetFormatPr defaultRowHeight="15" x14ac:dyDescent="0.25"/>
  <cols>
    <col min="1" max="1" width="25.28515625" customWidth="1"/>
    <col min="2" max="2" width="10" bestFit="1" customWidth="1"/>
    <col min="3" max="3" width="1.7109375" customWidth="1"/>
    <col min="4" max="4" width="13.28515625" style="36" bestFit="1" customWidth="1"/>
    <col min="5" max="6" width="15.140625" style="36" bestFit="1" customWidth="1"/>
    <col min="7" max="8" width="12" style="36" bestFit="1" customWidth="1"/>
    <col min="9" max="9" width="14.7109375" bestFit="1" customWidth="1"/>
    <col min="11" max="11" width="25.42578125" bestFit="1" customWidth="1"/>
    <col min="12" max="12" width="8.5703125" bestFit="1" customWidth="1"/>
    <col min="13" max="13" width="1.42578125" customWidth="1"/>
    <col min="14" max="14" width="9.7109375" bestFit="1" customWidth="1"/>
    <col min="15" max="16" width="11.28515625" bestFit="1" customWidth="1"/>
    <col min="17" max="17" width="9.85546875" bestFit="1" customWidth="1"/>
    <col min="18" max="18" width="9.28515625" customWidth="1"/>
    <col min="19" max="19" width="11.28515625" bestFit="1" customWidth="1"/>
    <col min="22" max="22" width="33.42578125" bestFit="1" customWidth="1"/>
    <col min="23" max="25" width="14.7109375" bestFit="1" customWidth="1"/>
  </cols>
  <sheetData>
    <row r="1" spans="1:18" x14ac:dyDescent="0.25">
      <c r="A1" s="432" t="s">
        <v>547</v>
      </c>
      <c r="D1"/>
      <c r="E1"/>
      <c r="F1"/>
      <c r="G1"/>
      <c r="H1"/>
    </row>
    <row r="2" spans="1:18" ht="15.75" thickBot="1" x14ac:dyDescent="0.3">
      <c r="A2" s="432" t="s">
        <v>202</v>
      </c>
      <c r="D2" s="125" t="s">
        <v>89</v>
      </c>
      <c r="E2" s="126"/>
      <c r="F2" s="4"/>
      <c r="G2" s="4"/>
      <c r="H2" s="4"/>
      <c r="N2" s="125" t="s">
        <v>89</v>
      </c>
      <c r="O2" s="126"/>
      <c r="P2" s="4"/>
      <c r="Q2" s="4"/>
      <c r="R2" s="4"/>
    </row>
    <row r="3" spans="1:18" ht="15.75" thickBot="1" x14ac:dyDescent="0.3">
      <c r="C3" s="38"/>
      <c r="D3" s="7">
        <v>40543</v>
      </c>
      <c r="E3" s="7">
        <v>40908</v>
      </c>
      <c r="F3" s="7">
        <v>41274</v>
      </c>
      <c r="G3" s="7">
        <v>41639</v>
      </c>
      <c r="H3" s="7">
        <v>42004</v>
      </c>
      <c r="M3" s="601">
        <v>42369</v>
      </c>
      <c r="N3" s="7">
        <v>42735</v>
      </c>
      <c r="O3" s="7">
        <v>43100</v>
      </c>
      <c r="P3" s="7">
        <v>43465</v>
      </c>
      <c r="Q3" s="7">
        <v>43830</v>
      </c>
      <c r="R3" s="7">
        <v>42978</v>
      </c>
    </row>
    <row r="4" spans="1:18" x14ac:dyDescent="0.25">
      <c r="D4" s="12"/>
      <c r="E4" s="12"/>
      <c r="F4" s="12"/>
      <c r="G4" s="12"/>
      <c r="H4" s="12"/>
    </row>
    <row r="5" spans="1:18" x14ac:dyDescent="0.25">
      <c r="A5" s="229" t="s">
        <v>624</v>
      </c>
      <c r="B5" s="229" t="s">
        <v>179</v>
      </c>
      <c r="D5" s="12"/>
      <c r="E5" s="12"/>
      <c r="F5" s="12"/>
      <c r="G5" s="12"/>
      <c r="H5" s="12"/>
      <c r="K5" s="229" t="s">
        <v>194</v>
      </c>
      <c r="N5" s="12"/>
      <c r="O5" s="12"/>
      <c r="P5" s="12"/>
      <c r="Q5" s="12"/>
      <c r="R5" s="12"/>
    </row>
    <row r="6" spans="1:18" x14ac:dyDescent="0.25">
      <c r="A6" t="s">
        <v>208</v>
      </c>
      <c r="B6" t="s">
        <v>551</v>
      </c>
      <c r="D6" s="39">
        <v>3786.25</v>
      </c>
      <c r="E6" s="39">
        <v>4620.8500000000004</v>
      </c>
      <c r="F6" s="39">
        <v>4945.8500000000004</v>
      </c>
      <c r="G6" s="39">
        <v>4945.8500000000004</v>
      </c>
      <c r="H6" s="39">
        <v>1625</v>
      </c>
      <c r="K6" s="14" t="s">
        <v>2</v>
      </c>
      <c r="L6" s="14"/>
      <c r="M6" s="14"/>
      <c r="N6" s="22">
        <f t="shared" ref="N6:R6" si="0">D74</f>
        <v>853985.64251999999</v>
      </c>
      <c r="O6" s="22">
        <f t="shared" si="0"/>
        <v>992948.46754574112</v>
      </c>
      <c r="P6" s="22">
        <f t="shared" si="0"/>
        <v>1029545.0003627623</v>
      </c>
      <c r="Q6" s="22">
        <f t="shared" si="0"/>
        <v>999885.97120860277</v>
      </c>
      <c r="R6" s="22">
        <f t="shared" si="0"/>
        <v>675555.58558671176</v>
      </c>
    </row>
    <row r="7" spans="1:18" x14ac:dyDescent="0.25">
      <c r="A7" t="s">
        <v>209</v>
      </c>
      <c r="B7" t="s">
        <v>554</v>
      </c>
      <c r="D7" s="39">
        <v>32.5</v>
      </c>
      <c r="E7" s="39"/>
      <c r="F7" s="39"/>
      <c r="G7" s="39"/>
      <c r="H7" s="39"/>
      <c r="K7" s="230" t="s">
        <v>3</v>
      </c>
      <c r="L7" s="14"/>
      <c r="M7" s="14"/>
      <c r="N7" s="22">
        <f>D92</f>
        <v>788910.93799140002</v>
      </c>
      <c r="O7" s="22">
        <f t="shared" ref="O7:R7" si="1">E92</f>
        <v>913975.94370540534</v>
      </c>
      <c r="P7" s="22">
        <f t="shared" si="1"/>
        <v>946820.27871997526</v>
      </c>
      <c r="Q7" s="22">
        <f t="shared" si="1"/>
        <v>919024.25017425907</v>
      </c>
      <c r="R7" s="22">
        <f t="shared" si="1"/>
        <v>619403.28802023304</v>
      </c>
    </row>
    <row r="8" spans="1:18" x14ac:dyDescent="0.25">
      <c r="A8" t="s">
        <v>210</v>
      </c>
      <c r="B8" t="s">
        <v>554</v>
      </c>
      <c r="D8" s="39">
        <v>325</v>
      </c>
      <c r="E8" s="39">
        <v>325</v>
      </c>
      <c r="F8" s="39">
        <v>325</v>
      </c>
      <c r="G8" s="39">
        <v>325</v>
      </c>
      <c r="H8" s="39">
        <v>325</v>
      </c>
      <c r="K8" s="14" t="s">
        <v>4</v>
      </c>
      <c r="L8" s="14"/>
      <c r="M8" s="14"/>
      <c r="N8" s="22">
        <f>D110</f>
        <v>65074.704528600036</v>
      </c>
      <c r="O8" s="22">
        <f t="shared" ref="O8:R8" si="2">E110</f>
        <v>78972.523840335838</v>
      </c>
      <c r="P8" s="22">
        <f t="shared" si="2"/>
        <v>82724.721642786884</v>
      </c>
      <c r="Q8" s="22">
        <f t="shared" si="2"/>
        <v>80861.721034343645</v>
      </c>
      <c r="R8" s="22">
        <f t="shared" si="2"/>
        <v>56152.297566478876</v>
      </c>
    </row>
    <row r="9" spans="1:18" x14ac:dyDescent="0.25">
      <c r="A9" t="s">
        <v>557</v>
      </c>
      <c r="B9" t="s">
        <v>554</v>
      </c>
      <c r="D9" s="39">
        <v>1311</v>
      </c>
      <c r="E9" s="39">
        <v>1429</v>
      </c>
      <c r="F9" s="39">
        <v>1287</v>
      </c>
      <c r="G9" s="39">
        <v>836.55000000000007</v>
      </c>
      <c r="H9" s="39">
        <v>836.55000000000007</v>
      </c>
      <c r="K9" s="41" t="s">
        <v>5</v>
      </c>
      <c r="L9" s="41"/>
      <c r="M9" s="41"/>
      <c r="N9" s="238">
        <f>IF(N6=0,0,N8/N6)</f>
        <v>7.6201169303705255E-2</v>
      </c>
      <c r="O9" s="238">
        <f t="shared" ref="O9:R9" si="3">IF(O6=0,0,O8/O6)</f>
        <v>7.9533355880523474E-2</v>
      </c>
      <c r="P9" s="238">
        <f t="shared" si="3"/>
        <v>8.0350758455083229E-2</v>
      </c>
      <c r="Q9" s="238">
        <f t="shared" si="3"/>
        <v>8.0870942650193206E-2</v>
      </c>
      <c r="R9" s="238">
        <f t="shared" si="3"/>
        <v>8.3120173623775592E-2</v>
      </c>
    </row>
    <row r="10" spans="1:18" x14ac:dyDescent="0.25">
      <c r="A10" t="s">
        <v>558</v>
      </c>
      <c r="B10" t="s">
        <v>554</v>
      </c>
      <c r="D10" s="39"/>
      <c r="E10" s="39"/>
      <c r="F10" s="39"/>
      <c r="G10" s="39"/>
      <c r="H10" s="39"/>
      <c r="N10" s="36"/>
      <c r="O10" s="36"/>
      <c r="P10" s="36"/>
      <c r="Q10" s="36"/>
      <c r="R10" s="36"/>
    </row>
    <row r="11" spans="1:18" x14ac:dyDescent="0.25">
      <c r="A11" t="s">
        <v>558</v>
      </c>
      <c r="B11" t="s">
        <v>548</v>
      </c>
      <c r="D11" s="39">
        <v>1440</v>
      </c>
      <c r="E11" s="39">
        <v>1129.2</v>
      </c>
      <c r="F11" s="39">
        <v>973.19999999999993</v>
      </c>
      <c r="G11" s="39">
        <v>973.19999999999993</v>
      </c>
      <c r="H11" s="39">
        <v>973.19999999999993</v>
      </c>
      <c r="K11" s="36" t="s">
        <v>549</v>
      </c>
      <c r="N11" s="36"/>
      <c r="O11" s="36"/>
      <c r="P11" s="36"/>
      <c r="Q11" s="36"/>
      <c r="R11" s="36"/>
    </row>
    <row r="12" spans="1:18" x14ac:dyDescent="0.25">
      <c r="A12" t="s">
        <v>559</v>
      </c>
      <c r="B12" t="s">
        <v>554</v>
      </c>
      <c r="D12" s="39"/>
      <c r="E12" s="39"/>
      <c r="F12" s="39"/>
      <c r="G12" s="39"/>
      <c r="H12" s="39"/>
      <c r="K12" s="14" t="s">
        <v>2</v>
      </c>
      <c r="L12" s="14"/>
      <c r="M12" s="14"/>
      <c r="N12" s="22">
        <f>SUMIF($B60:$B73,"AAA",D60:D73)</f>
        <v>438056.03501999995</v>
      </c>
      <c r="O12" s="22">
        <f>SUMIF($B60:$B73,"AAA",E60:E73)</f>
        <v>495423.10979296878</v>
      </c>
      <c r="P12" s="22">
        <f>SUMIF($B60:$B73,"AAA",F60:F73)</f>
        <v>510613.28666298476</v>
      </c>
      <c r="Q12" s="22">
        <f>SUMIF($B60:$B73,"AAA",G60:G73)</f>
        <v>520825.55239624443</v>
      </c>
      <c r="R12" s="22">
        <f>SUMIF($B60:$B73,"AAA",H60:H73)</f>
        <v>420057.53667780943</v>
      </c>
    </row>
    <row r="13" spans="1:18" x14ac:dyDescent="0.25">
      <c r="A13" t="s">
        <v>559</v>
      </c>
      <c r="B13" t="s">
        <v>548</v>
      </c>
      <c r="D13" s="39">
        <v>4195.2</v>
      </c>
      <c r="E13" s="39">
        <v>4712.3999999999996</v>
      </c>
      <c r="F13" s="39">
        <v>4736.3999999999996</v>
      </c>
      <c r="G13" s="39">
        <v>4736.3999999999996</v>
      </c>
      <c r="H13" s="39">
        <v>3000</v>
      </c>
      <c r="K13" s="32" t="s">
        <v>3</v>
      </c>
      <c r="M13" s="14"/>
      <c r="N13" s="22">
        <f>SUMIF($B77:$B90,"AAA",D77:D90)</f>
        <v>402535.64051639999</v>
      </c>
      <c r="O13" s="22">
        <f>SUMIF($B77:$B90,"AAA",E77:E90)</f>
        <v>451708.65872138354</v>
      </c>
      <c r="P13" s="22">
        <f>SUMIF($B77:$B90,"AAA",F77:F90)</f>
        <v>464658.09086331615</v>
      </c>
      <c r="Q13" s="22">
        <f>SUMIF($B77:$B90,"AAA",G77:G90)</f>
        <v>473951.25268058246</v>
      </c>
      <c r="R13" s="22">
        <f>SUMIF($B77:$B90,"AAA",H77:H90)</f>
        <v>382252.3583768066</v>
      </c>
    </row>
    <row r="14" spans="1:18" x14ac:dyDescent="0.25">
      <c r="A14" t="s">
        <v>560</v>
      </c>
      <c r="B14" t="s">
        <v>554</v>
      </c>
      <c r="D14" s="39"/>
      <c r="E14" s="39"/>
      <c r="F14" s="39"/>
      <c r="G14" s="39"/>
      <c r="H14" s="39"/>
      <c r="K14" s="230" t="s">
        <v>203</v>
      </c>
      <c r="N14" s="241">
        <v>-2.5000000000000001E-3</v>
      </c>
      <c r="O14" s="241">
        <v>0</v>
      </c>
      <c r="P14" s="241">
        <v>0</v>
      </c>
      <c r="Q14" s="241">
        <v>0</v>
      </c>
      <c r="R14" s="241">
        <v>0</v>
      </c>
    </row>
    <row r="15" spans="1:18" x14ac:dyDescent="0.25">
      <c r="A15" t="s">
        <v>560</v>
      </c>
      <c r="B15" t="s">
        <v>548</v>
      </c>
      <c r="D15" s="39"/>
      <c r="E15" s="39">
        <v>124.7</v>
      </c>
      <c r="F15" s="39">
        <v>191.35</v>
      </c>
      <c r="G15" s="39">
        <v>191.35</v>
      </c>
      <c r="H15" s="39">
        <v>191.35</v>
      </c>
      <c r="K15" s="230" t="s">
        <v>204</v>
      </c>
      <c r="M15" s="14"/>
      <c r="N15" s="22">
        <f t="shared" ref="N15:R15" si="4">$N14*N12</f>
        <v>-1095.1400875499999</v>
      </c>
      <c r="O15" s="22">
        <f t="shared" si="4"/>
        <v>-1238.557774482422</v>
      </c>
      <c r="P15" s="22">
        <f t="shared" si="4"/>
        <v>-1276.5332166574619</v>
      </c>
      <c r="Q15" s="22">
        <f t="shared" si="4"/>
        <v>-1302.0638809906111</v>
      </c>
      <c r="R15" s="22">
        <f t="shared" si="4"/>
        <v>-1050.1438416945236</v>
      </c>
    </row>
    <row r="16" spans="1:18" x14ac:dyDescent="0.25">
      <c r="A16" t="s">
        <v>561</v>
      </c>
      <c r="B16" t="s">
        <v>548</v>
      </c>
      <c r="D16" s="39">
        <v>243.81</v>
      </c>
      <c r="E16" s="39">
        <v>430</v>
      </c>
      <c r="F16" s="39">
        <v>516</v>
      </c>
      <c r="G16" s="39">
        <v>516</v>
      </c>
      <c r="H16" s="39">
        <v>860</v>
      </c>
      <c r="K16" s="14" t="s">
        <v>4</v>
      </c>
      <c r="L16" s="14"/>
      <c r="M16" s="14"/>
      <c r="N16" s="22">
        <f t="shared" ref="N16:R16" si="5">N12-N13-N15</f>
        <v>36615.534591149961</v>
      </c>
      <c r="O16" s="22">
        <f t="shared" si="5"/>
        <v>44953.008846067656</v>
      </c>
      <c r="P16" s="22">
        <f t="shared" si="5"/>
        <v>47231.72901632607</v>
      </c>
      <c r="Q16" s="22">
        <f t="shared" si="5"/>
        <v>48176.363596652576</v>
      </c>
      <c r="R16" s="22">
        <f t="shared" si="5"/>
        <v>38855.322142697354</v>
      </c>
    </row>
    <row r="17" spans="1:18" x14ac:dyDescent="0.25">
      <c r="A17" t="s">
        <v>180</v>
      </c>
      <c r="D17" s="39"/>
      <c r="E17" s="39"/>
      <c r="F17" s="39"/>
      <c r="G17" s="39"/>
      <c r="H17" s="39"/>
      <c r="K17" s="41" t="s">
        <v>5</v>
      </c>
      <c r="L17" s="41"/>
      <c r="M17" s="41"/>
      <c r="N17" s="238">
        <f t="shared" ref="N17:R17" si="6">IF(N12=0,0,N16/N12)</f>
        <v>8.358641740771415E-2</v>
      </c>
      <c r="O17" s="238">
        <f t="shared" si="6"/>
        <v>9.0736600609634385E-2</v>
      </c>
      <c r="P17" s="238">
        <f t="shared" si="6"/>
        <v>9.2499999999999957E-2</v>
      </c>
      <c r="Q17" s="238">
        <f t="shared" si="6"/>
        <v>9.249999999999993E-2</v>
      </c>
      <c r="R17" s="238">
        <f t="shared" si="6"/>
        <v>9.2499999999999957E-2</v>
      </c>
    </row>
    <row r="18" spans="1:18" x14ac:dyDescent="0.25">
      <c r="A18" t="s">
        <v>181</v>
      </c>
      <c r="D18" s="39"/>
      <c r="E18" s="39"/>
      <c r="F18" s="39"/>
      <c r="G18" s="39"/>
      <c r="H18" s="39"/>
      <c r="K18" s="239" t="s">
        <v>195</v>
      </c>
      <c r="L18" s="41"/>
      <c r="M18" s="41"/>
    </row>
    <row r="19" spans="1:18" x14ac:dyDescent="0.25">
      <c r="A19" t="s">
        <v>182</v>
      </c>
      <c r="D19" s="39"/>
      <c r="E19" s="39"/>
      <c r="F19" s="39"/>
      <c r="G19" s="39"/>
      <c r="H19" s="39"/>
      <c r="K19" s="240" t="s">
        <v>550</v>
      </c>
      <c r="L19" s="32"/>
      <c r="M19" s="14"/>
      <c r="N19" s="226">
        <v>1754.7431494335738</v>
      </c>
      <c r="O19" s="226">
        <v>1877.5751698939241</v>
      </c>
      <c r="P19" s="226">
        <v>2009.005431786499</v>
      </c>
      <c r="Q19" s="226">
        <v>2009.005431786499</v>
      </c>
      <c r="R19" s="226">
        <v>2009.005431786499</v>
      </c>
    </row>
    <row r="20" spans="1:18" x14ac:dyDescent="0.25">
      <c r="A20" s="36" t="s">
        <v>332</v>
      </c>
      <c r="D20" s="425">
        <f>SUM(D6:D19)</f>
        <v>11333.76</v>
      </c>
      <c r="E20" s="425">
        <f t="shared" ref="E20:H20" si="7">SUM(E6:E19)</f>
        <v>12771.150000000001</v>
      </c>
      <c r="F20" s="425">
        <f t="shared" si="7"/>
        <v>12974.800000000001</v>
      </c>
      <c r="G20" s="425">
        <f t="shared" si="7"/>
        <v>12524.35</v>
      </c>
      <c r="H20" s="425">
        <f t="shared" si="7"/>
        <v>7811.1</v>
      </c>
      <c r="K20" s="240" t="s">
        <v>552</v>
      </c>
      <c r="L20" s="32"/>
      <c r="M20" s="14"/>
      <c r="N20" s="226">
        <v>2805.7200000000003</v>
      </c>
      <c r="O20" s="226">
        <v>2889.8916000000004</v>
      </c>
      <c r="P20" s="226">
        <v>2976.5883480000007</v>
      </c>
      <c r="Q20" s="226">
        <v>2976.5883480000007</v>
      </c>
      <c r="R20" s="226">
        <v>2976.5883480000007</v>
      </c>
    </row>
    <row r="21" spans="1:18" x14ac:dyDescent="0.25">
      <c r="D21" s="12"/>
      <c r="E21" s="12"/>
      <c r="F21" s="12"/>
      <c r="G21" s="12"/>
      <c r="H21" s="12"/>
      <c r="K21" s="240" t="s">
        <v>555</v>
      </c>
      <c r="L21" s="32"/>
      <c r="M21" s="14"/>
      <c r="N21" s="226">
        <v>2395.44</v>
      </c>
      <c r="O21" s="226">
        <v>2587.0752000000002</v>
      </c>
      <c r="P21" s="226">
        <v>2794.0412160000005</v>
      </c>
      <c r="Q21" s="226">
        <v>2794.0412160000005</v>
      </c>
      <c r="R21" s="226">
        <v>2794.0412160000005</v>
      </c>
    </row>
    <row r="22" spans="1:18" x14ac:dyDescent="0.25">
      <c r="A22" s="229" t="s">
        <v>625</v>
      </c>
      <c r="B22" s="229" t="s">
        <v>179</v>
      </c>
      <c r="D22" s="12" t="s">
        <v>183</v>
      </c>
      <c r="E22" s="234">
        <v>4.0839157904031226E-2</v>
      </c>
      <c r="F22" s="234">
        <v>3.0160506980386397E-2</v>
      </c>
      <c r="G22" s="234">
        <v>0.02</v>
      </c>
      <c r="H22" s="234">
        <v>0.02</v>
      </c>
      <c r="K22" s="230" t="s">
        <v>556</v>
      </c>
      <c r="L22" s="241">
        <v>0.03</v>
      </c>
      <c r="M22" s="14"/>
      <c r="N22" s="22">
        <f t="shared" ref="N22:P22" si="8">$L22*N12</f>
        <v>13141.681050599998</v>
      </c>
      <c r="O22" s="22">
        <f t="shared" si="8"/>
        <v>14862.693293789063</v>
      </c>
      <c r="P22" s="22">
        <f t="shared" si="8"/>
        <v>15318.398599889542</v>
      </c>
      <c r="Q22" s="22">
        <f>$L22*Q12</f>
        <v>15624.766571887332</v>
      </c>
      <c r="R22" s="22">
        <f>$L22*R12</f>
        <v>12601.726100334283</v>
      </c>
    </row>
    <row r="23" spans="1:18" x14ac:dyDescent="0.25">
      <c r="A23" t="s">
        <v>208</v>
      </c>
      <c r="B23" t="s">
        <v>551</v>
      </c>
      <c r="D23" s="232">
        <v>62.934000000000005</v>
      </c>
      <c r="E23" s="233">
        <f>D23*(1+E$22)</f>
        <v>65.50417156353231</v>
      </c>
      <c r="F23" s="233">
        <f t="shared" ref="F23:H23" si="9">E23*(1+F$22)</f>
        <v>67.479810587218651</v>
      </c>
      <c r="G23" s="233">
        <f t="shared" si="9"/>
        <v>68.829406798963021</v>
      </c>
      <c r="H23" s="233">
        <f t="shared" si="9"/>
        <v>70.205994934942282</v>
      </c>
      <c r="K23" s="244" t="s">
        <v>205</v>
      </c>
      <c r="L23" s="241">
        <v>1.4999999999999999E-2</v>
      </c>
      <c r="M23" s="14"/>
      <c r="N23" s="22">
        <f t="shared" ref="N23:R23" si="10">$L23*N12</f>
        <v>6570.8405252999992</v>
      </c>
      <c r="O23" s="22">
        <f t="shared" si="10"/>
        <v>7431.3466468945317</v>
      </c>
      <c r="P23" s="22">
        <f t="shared" si="10"/>
        <v>7659.1992999447712</v>
      </c>
      <c r="Q23" s="22">
        <f t="shared" si="10"/>
        <v>7812.3832859436661</v>
      </c>
      <c r="R23" s="22">
        <f t="shared" si="10"/>
        <v>6300.8630501671414</v>
      </c>
    </row>
    <row r="24" spans="1:18" x14ac:dyDescent="0.25">
      <c r="A24" t="s">
        <v>209</v>
      </c>
      <c r="B24" t="s">
        <v>554</v>
      </c>
      <c r="D24" s="232">
        <v>76.5</v>
      </c>
      <c r="E24" s="233">
        <f t="shared" ref="E24:H36" si="11">D24*(1+E$22)</f>
        <v>79.624195579658391</v>
      </c>
      <c r="F24" s="233">
        <f t="shared" si="11"/>
        <v>82.025701686246322</v>
      </c>
      <c r="G24" s="233">
        <f t="shared" si="11"/>
        <v>83.666215719971248</v>
      </c>
      <c r="H24" s="233">
        <f t="shared" si="11"/>
        <v>85.339540034370671</v>
      </c>
      <c r="K24" t="s">
        <v>196</v>
      </c>
      <c r="L24" s="14"/>
      <c r="M24" s="14"/>
      <c r="N24" s="243">
        <f t="shared" ref="N24:R24" si="12">SUM(N19:N23)</f>
        <v>26668.424725333571</v>
      </c>
      <c r="O24" s="243">
        <f t="shared" si="12"/>
        <v>29648.581910577523</v>
      </c>
      <c r="P24" s="243">
        <f t="shared" si="12"/>
        <v>30757.232895620815</v>
      </c>
      <c r="Q24" s="243">
        <f t="shared" si="12"/>
        <v>31216.784853617501</v>
      </c>
      <c r="R24" s="243">
        <f t="shared" si="12"/>
        <v>26682.224146287925</v>
      </c>
    </row>
    <row r="25" spans="1:18" x14ac:dyDescent="0.25">
      <c r="A25" t="s">
        <v>210</v>
      </c>
      <c r="B25" t="s">
        <v>554</v>
      </c>
      <c r="D25" s="232">
        <v>127.5</v>
      </c>
      <c r="E25" s="233">
        <f t="shared" si="11"/>
        <v>132.70699263276398</v>
      </c>
      <c r="F25" s="233">
        <f t="shared" si="11"/>
        <v>136.70950281041053</v>
      </c>
      <c r="G25" s="233">
        <f t="shared" si="11"/>
        <v>139.44369286661873</v>
      </c>
      <c r="H25" s="233">
        <f t="shared" si="11"/>
        <v>142.23256672395112</v>
      </c>
      <c r="K25" s="14" t="s">
        <v>197</v>
      </c>
      <c r="L25" s="14"/>
      <c r="M25" s="14"/>
      <c r="N25" s="14"/>
      <c r="O25" s="14"/>
      <c r="P25" s="14"/>
      <c r="Q25" s="14"/>
      <c r="R25" s="14"/>
    </row>
    <row r="26" spans="1:18" x14ac:dyDescent="0.25">
      <c r="A26" t="s">
        <v>557</v>
      </c>
      <c r="B26" t="s">
        <v>554</v>
      </c>
      <c r="D26" s="232">
        <v>102</v>
      </c>
      <c r="E26" s="233">
        <f t="shared" si="11"/>
        <v>106.16559410621119</v>
      </c>
      <c r="F26" s="233">
        <f t="shared" si="11"/>
        <v>109.36760224832842</v>
      </c>
      <c r="G26" s="233">
        <f t="shared" si="11"/>
        <v>111.554954293295</v>
      </c>
      <c r="H26" s="233">
        <f t="shared" si="11"/>
        <v>113.7860533791609</v>
      </c>
      <c r="K26" s="230" t="s">
        <v>553</v>
      </c>
      <c r="L26" s="241">
        <v>2.5000000000000001E-2</v>
      </c>
      <c r="M26" s="14"/>
      <c r="N26" s="22">
        <f t="shared" ref="N26:R26" si="13">(N16-N24)*$L26</f>
        <v>248.67774664540977</v>
      </c>
      <c r="O26" s="22">
        <f t="shared" si="13"/>
        <v>382.61067338725337</v>
      </c>
      <c r="P26" s="22">
        <f t="shared" si="13"/>
        <v>411.86240301763138</v>
      </c>
      <c r="Q26" s="22">
        <f t="shared" si="13"/>
        <v>423.98946857587691</v>
      </c>
      <c r="R26" s="22">
        <f t="shared" si="13"/>
        <v>304.32744991023577</v>
      </c>
    </row>
    <row r="27" spans="1:18" x14ac:dyDescent="0.25">
      <c r="A27" t="s">
        <v>558</v>
      </c>
      <c r="B27" t="s">
        <v>554</v>
      </c>
      <c r="D27" s="232"/>
      <c r="E27" s="233">
        <f t="shared" si="11"/>
        <v>0</v>
      </c>
      <c r="F27" s="233">
        <f t="shared" si="11"/>
        <v>0</v>
      </c>
      <c r="G27" s="233">
        <f t="shared" si="11"/>
        <v>0</v>
      </c>
      <c r="H27" s="233">
        <f t="shared" si="11"/>
        <v>0</v>
      </c>
      <c r="K27" s="244" t="s">
        <v>548</v>
      </c>
      <c r="L27" s="241">
        <f>1-L26</f>
        <v>0.97499999999999998</v>
      </c>
      <c r="M27" s="14"/>
      <c r="N27" s="22">
        <f t="shared" ref="N27:R27" si="14">(N16-N24)*$L27</f>
        <v>9698.4321191709805</v>
      </c>
      <c r="O27" s="22">
        <f t="shared" si="14"/>
        <v>14921.816262102881</v>
      </c>
      <c r="P27" s="22">
        <f t="shared" si="14"/>
        <v>16062.633717687622</v>
      </c>
      <c r="Q27" s="22">
        <f t="shared" si="14"/>
        <v>16535.589274459198</v>
      </c>
      <c r="R27" s="22">
        <f t="shared" si="14"/>
        <v>11868.770546499194</v>
      </c>
    </row>
    <row r="28" spans="1:18" x14ac:dyDescent="0.25">
      <c r="A28" t="s">
        <v>558</v>
      </c>
      <c r="B28" t="s">
        <v>548</v>
      </c>
      <c r="D28" s="232">
        <v>64.127399999999994</v>
      </c>
      <c r="E28" s="233">
        <f t="shared" si="11"/>
        <v>66.746309014574962</v>
      </c>
      <c r="F28" s="233">
        <f t="shared" si="11"/>
        <v>68.759411533524073</v>
      </c>
      <c r="G28" s="233">
        <f t="shared" si="11"/>
        <v>70.134599764194562</v>
      </c>
      <c r="H28" s="233">
        <f t="shared" si="11"/>
        <v>71.53729175947845</v>
      </c>
      <c r="K28" s="32" t="s">
        <v>200</v>
      </c>
      <c r="N28" s="243">
        <f>SUM(N26:N27)</f>
        <v>9947.1098658163901</v>
      </c>
      <c r="O28" s="243">
        <f t="shared" ref="O28:R28" si="15">SUM(O26:O27)</f>
        <v>15304.426935490133</v>
      </c>
      <c r="P28" s="243">
        <f t="shared" si="15"/>
        <v>16474.496120705255</v>
      </c>
      <c r="Q28" s="243">
        <f t="shared" si="15"/>
        <v>16959.578743035076</v>
      </c>
      <c r="R28" s="243">
        <f t="shared" si="15"/>
        <v>12173.097996409429</v>
      </c>
    </row>
    <row r="29" spans="1:18" x14ac:dyDescent="0.25">
      <c r="A29" t="s">
        <v>559</v>
      </c>
      <c r="B29" t="s">
        <v>554</v>
      </c>
      <c r="D29" s="232"/>
      <c r="E29" s="233">
        <f t="shared" si="11"/>
        <v>0</v>
      </c>
      <c r="F29" s="233">
        <f t="shared" si="11"/>
        <v>0</v>
      </c>
      <c r="G29" s="233">
        <f t="shared" si="11"/>
        <v>0</v>
      </c>
      <c r="H29" s="233">
        <f t="shared" si="11"/>
        <v>0</v>
      </c>
      <c r="K29" s="14" t="s">
        <v>141</v>
      </c>
      <c r="M29" s="14"/>
    </row>
    <row r="30" spans="1:18" x14ac:dyDescent="0.25">
      <c r="A30" t="s">
        <v>559</v>
      </c>
      <c r="B30" t="s">
        <v>548</v>
      </c>
      <c r="D30" s="232">
        <v>76.7346</v>
      </c>
      <c r="E30" s="233">
        <f t="shared" si="11"/>
        <v>79.868376446102673</v>
      </c>
      <c r="F30" s="233">
        <f t="shared" si="11"/>
        <v>82.277247171417471</v>
      </c>
      <c r="G30" s="233">
        <f t="shared" si="11"/>
        <v>83.922792114845819</v>
      </c>
      <c r="H30" s="233">
        <f t="shared" si="11"/>
        <v>85.601247957142732</v>
      </c>
      <c r="K30" s="230" t="s">
        <v>553</v>
      </c>
      <c r="L30" s="242">
        <v>0.4</v>
      </c>
      <c r="M30" s="14"/>
      <c r="N30" s="22">
        <f t="shared" ref="N30:R31" si="16">N26*$L30</f>
        <v>99.47109865816391</v>
      </c>
      <c r="O30" s="22">
        <f t="shared" si="16"/>
        <v>153.04426935490136</v>
      </c>
      <c r="P30" s="22">
        <f t="shared" si="16"/>
        <v>164.74496120705257</v>
      </c>
      <c r="Q30" s="22">
        <f t="shared" si="16"/>
        <v>169.59578743035078</v>
      </c>
      <c r="R30" s="22">
        <f t="shared" si="16"/>
        <v>121.73097996409432</v>
      </c>
    </row>
    <row r="31" spans="1:18" x14ac:dyDescent="0.25">
      <c r="A31" t="s">
        <v>560</v>
      </c>
      <c r="B31" t="s">
        <v>554</v>
      </c>
      <c r="D31" s="232"/>
      <c r="E31" s="233">
        <f t="shared" si="11"/>
        <v>0</v>
      </c>
      <c r="F31" s="233">
        <f t="shared" si="11"/>
        <v>0</v>
      </c>
      <c r="G31" s="233">
        <f t="shared" si="11"/>
        <v>0</v>
      </c>
      <c r="H31" s="233">
        <f t="shared" si="11"/>
        <v>0</v>
      </c>
      <c r="K31" s="244" t="s">
        <v>548</v>
      </c>
      <c r="L31" s="242">
        <v>0.4</v>
      </c>
      <c r="M31" s="14"/>
      <c r="N31" s="22">
        <f t="shared" si="16"/>
        <v>3879.3728476683923</v>
      </c>
      <c r="O31" s="22">
        <f t="shared" si="16"/>
        <v>5968.7265048411527</v>
      </c>
      <c r="P31" s="22">
        <f t="shared" si="16"/>
        <v>6425.0534870750489</v>
      </c>
      <c r="Q31" s="22">
        <f t="shared" si="16"/>
        <v>6614.2357097836793</v>
      </c>
      <c r="R31" s="22">
        <f t="shared" si="16"/>
        <v>4747.508218599678</v>
      </c>
    </row>
    <row r="32" spans="1:18" x14ac:dyDescent="0.25">
      <c r="A32" t="s">
        <v>560</v>
      </c>
      <c r="B32" t="s">
        <v>548</v>
      </c>
      <c r="D32" s="232"/>
      <c r="E32" s="233">
        <f t="shared" si="11"/>
        <v>0</v>
      </c>
      <c r="F32" s="233">
        <f t="shared" si="11"/>
        <v>0</v>
      </c>
      <c r="G32" s="233">
        <f t="shared" si="11"/>
        <v>0</v>
      </c>
      <c r="H32" s="233">
        <f t="shared" si="11"/>
        <v>0</v>
      </c>
      <c r="K32" s="32" t="s">
        <v>198</v>
      </c>
      <c r="L32" s="14"/>
      <c r="M32" s="14"/>
      <c r="N32" s="243">
        <f>SUM(N30:N31)</f>
        <v>3978.8439463265563</v>
      </c>
      <c r="O32" s="243">
        <f t="shared" ref="O32:R32" si="17">SUM(O30:O31)</f>
        <v>6121.7707741960539</v>
      </c>
      <c r="P32" s="243">
        <f t="shared" si="17"/>
        <v>6589.7984482821012</v>
      </c>
      <c r="Q32" s="243">
        <f t="shared" si="17"/>
        <v>6783.8314972140297</v>
      </c>
      <c r="R32" s="243">
        <f t="shared" si="17"/>
        <v>4869.2391985637723</v>
      </c>
    </row>
    <row r="33" spans="1:18" x14ac:dyDescent="0.25">
      <c r="A33" t="s">
        <v>561</v>
      </c>
      <c r="B33" t="s">
        <v>548</v>
      </c>
      <c r="D33" s="232">
        <v>97.598888888888879</v>
      </c>
      <c r="E33" s="233">
        <f t="shared" si="11"/>
        <v>101.58474532348022</v>
      </c>
      <c r="F33" s="233">
        <f t="shared" si="11"/>
        <v>104.64859274390982</v>
      </c>
      <c r="G33" s="233">
        <f t="shared" si="11"/>
        <v>106.74156459878802</v>
      </c>
      <c r="H33" s="233">
        <f t="shared" si="11"/>
        <v>108.87639589076377</v>
      </c>
      <c r="K33" s="14" t="s">
        <v>199</v>
      </c>
      <c r="L33" s="14"/>
      <c r="M33" s="14"/>
      <c r="N33" s="22">
        <f>N28-N32</f>
        <v>5968.2659194898333</v>
      </c>
      <c r="O33" s="22">
        <f t="shared" ref="O33:R33" si="18">O28-O32</f>
        <v>9182.6561612940786</v>
      </c>
      <c r="P33" s="22">
        <f t="shared" si="18"/>
        <v>9884.6976724231536</v>
      </c>
      <c r="Q33" s="22">
        <f t="shared" si="18"/>
        <v>10175.747245821047</v>
      </c>
      <c r="R33" s="22">
        <f t="shared" si="18"/>
        <v>7303.8587978456571</v>
      </c>
    </row>
    <row r="34" spans="1:18" x14ac:dyDescent="0.25">
      <c r="A34" t="s">
        <v>180</v>
      </c>
      <c r="D34" s="232"/>
      <c r="E34" s="233">
        <f t="shared" si="11"/>
        <v>0</v>
      </c>
      <c r="F34" s="233">
        <f t="shared" si="11"/>
        <v>0</v>
      </c>
      <c r="G34" s="233">
        <f t="shared" si="11"/>
        <v>0</v>
      </c>
      <c r="H34" s="233">
        <f t="shared" si="11"/>
        <v>0</v>
      </c>
      <c r="K34" s="27" t="s">
        <v>201</v>
      </c>
      <c r="L34" s="242">
        <v>0.5</v>
      </c>
      <c r="N34" s="22">
        <f t="shared" ref="N34:R34" si="19">N33*$L34</f>
        <v>2984.1329597449167</v>
      </c>
      <c r="O34" s="22">
        <f t="shared" si="19"/>
        <v>4591.3280806470393</v>
      </c>
      <c r="P34" s="22">
        <f t="shared" si="19"/>
        <v>4942.3488362115768</v>
      </c>
      <c r="Q34" s="22">
        <f t="shared" si="19"/>
        <v>5087.8736229105234</v>
      </c>
      <c r="R34" s="22">
        <f t="shared" si="19"/>
        <v>3651.9293989228286</v>
      </c>
    </row>
    <row r="35" spans="1:18" x14ac:dyDescent="0.25">
      <c r="A35" t="s">
        <v>181</v>
      </c>
      <c r="D35" s="232"/>
      <c r="E35" s="233">
        <f t="shared" si="11"/>
        <v>0</v>
      </c>
      <c r="F35" s="233">
        <f t="shared" si="11"/>
        <v>0</v>
      </c>
      <c r="G35" s="233">
        <f t="shared" si="11"/>
        <v>0</v>
      </c>
      <c r="H35" s="233">
        <f t="shared" si="11"/>
        <v>0</v>
      </c>
    </row>
    <row r="36" spans="1:18" x14ac:dyDescent="0.25">
      <c r="A36" t="s">
        <v>182</v>
      </c>
      <c r="D36" s="232"/>
      <c r="E36" s="233">
        <f t="shared" si="11"/>
        <v>0</v>
      </c>
      <c r="F36" s="233">
        <f t="shared" si="11"/>
        <v>0</v>
      </c>
      <c r="G36" s="233">
        <f t="shared" si="11"/>
        <v>0</v>
      </c>
      <c r="H36" s="233">
        <f t="shared" si="11"/>
        <v>0</v>
      </c>
    </row>
    <row r="37" spans="1:18" x14ac:dyDescent="0.25">
      <c r="D37" s="12"/>
      <c r="E37" s="12"/>
      <c r="F37" s="12"/>
      <c r="G37" s="12"/>
      <c r="H37" s="12"/>
    </row>
    <row r="38" spans="1:18" x14ac:dyDescent="0.25">
      <c r="A38" s="229" t="s">
        <v>184</v>
      </c>
      <c r="B38" s="229" t="s">
        <v>179</v>
      </c>
      <c r="D38" s="12"/>
      <c r="E38" s="12"/>
      <c r="F38" s="12"/>
      <c r="G38" s="12"/>
      <c r="H38" s="12"/>
    </row>
    <row r="39" spans="1:18" x14ac:dyDescent="0.25">
      <c r="A39" t="s">
        <v>208</v>
      </c>
      <c r="B39" t="s">
        <v>551</v>
      </c>
      <c r="D39" s="236">
        <v>7.0000000000000021E-2</v>
      </c>
      <c r="E39" s="236">
        <v>7.0000000000000021E-2</v>
      </c>
      <c r="F39" s="236">
        <v>7.0000000000000076E-2</v>
      </c>
      <c r="G39" s="236">
        <v>7.0000000000000076E-2</v>
      </c>
      <c r="H39" s="236">
        <v>7.0000000000000076E-2</v>
      </c>
    </row>
    <row r="40" spans="1:18" x14ac:dyDescent="0.25">
      <c r="A40" t="s">
        <v>209</v>
      </c>
      <c r="B40" t="s">
        <v>554</v>
      </c>
      <c r="D40" s="235">
        <v>0.08</v>
      </c>
      <c r="E40" s="235"/>
      <c r="F40" s="235"/>
      <c r="G40" s="235"/>
      <c r="H40" s="235"/>
      <c r="N40" s="145"/>
      <c r="O40" s="145"/>
      <c r="P40" s="145"/>
    </row>
    <row r="41" spans="1:18" x14ac:dyDescent="0.25">
      <c r="A41" t="s">
        <v>210</v>
      </c>
      <c r="B41" t="s">
        <v>554</v>
      </c>
      <c r="D41" s="235">
        <v>0.08</v>
      </c>
      <c r="E41" s="235">
        <v>7.9999999999999988E-2</v>
      </c>
      <c r="F41" s="235">
        <v>8.0000000000000016E-2</v>
      </c>
      <c r="G41" s="235">
        <v>8.0000000000000016E-2</v>
      </c>
      <c r="H41" s="235">
        <v>8.0000000000000016E-2</v>
      </c>
    </row>
    <row r="42" spans="1:18" x14ac:dyDescent="0.25">
      <c r="A42" t="s">
        <v>557</v>
      </c>
      <c r="B42" t="s">
        <v>554</v>
      </c>
      <c r="D42" s="235">
        <v>7.0000000000000062E-2</v>
      </c>
      <c r="E42" s="235">
        <v>7.0000000000000159E-2</v>
      </c>
      <c r="F42" s="235">
        <v>7.0000000000000062E-2</v>
      </c>
      <c r="G42" s="235">
        <v>7.0000000000000062E-2</v>
      </c>
      <c r="H42" s="235">
        <v>7.0000000000000062E-2</v>
      </c>
    </row>
    <row r="43" spans="1:18" x14ac:dyDescent="0.25">
      <c r="A43" t="s">
        <v>558</v>
      </c>
      <c r="B43" t="s">
        <v>554</v>
      </c>
      <c r="D43" s="235"/>
      <c r="E43" s="235"/>
      <c r="F43" s="235"/>
      <c r="G43" s="235"/>
      <c r="H43" s="235"/>
    </row>
    <row r="44" spans="1:18" x14ac:dyDescent="0.25">
      <c r="A44" t="s">
        <v>558</v>
      </c>
      <c r="B44" t="s">
        <v>548</v>
      </c>
      <c r="D44" s="235">
        <v>8.0000000000000016E-2</v>
      </c>
      <c r="E44" s="235">
        <v>8.9999999999999913E-2</v>
      </c>
      <c r="F44" s="235">
        <v>8.9999999999999913E-2</v>
      </c>
      <c r="G44" s="235">
        <v>8.9999999999999913E-2</v>
      </c>
      <c r="H44" s="235">
        <v>8.9999999999999913E-2</v>
      </c>
    </row>
    <row r="45" spans="1:18" x14ac:dyDescent="0.25">
      <c r="A45" t="s">
        <v>559</v>
      </c>
      <c r="B45" t="s">
        <v>554</v>
      </c>
      <c r="D45" s="235"/>
      <c r="E45" s="235"/>
      <c r="F45" s="235"/>
      <c r="G45" s="235"/>
      <c r="H45" s="235"/>
    </row>
    <row r="46" spans="1:18" x14ac:dyDescent="0.25">
      <c r="A46" t="s">
        <v>559</v>
      </c>
      <c r="B46" t="s">
        <v>548</v>
      </c>
      <c r="D46" s="235">
        <v>7.9999999999999918E-2</v>
      </c>
      <c r="E46" s="235">
        <v>8.9999999999999927E-2</v>
      </c>
      <c r="F46" s="235">
        <v>9.0000000000000011E-2</v>
      </c>
      <c r="G46" s="235">
        <v>9.0000000000000011E-2</v>
      </c>
      <c r="H46" s="235">
        <v>9.0000000000000011E-2</v>
      </c>
    </row>
    <row r="47" spans="1:18" x14ac:dyDescent="0.25">
      <c r="A47" t="s">
        <v>560</v>
      </c>
      <c r="B47" t="s">
        <v>554</v>
      </c>
      <c r="D47" s="235"/>
      <c r="E47" s="235"/>
      <c r="F47" s="235"/>
      <c r="G47" s="235"/>
      <c r="H47" s="235"/>
    </row>
    <row r="48" spans="1:18" x14ac:dyDescent="0.25">
      <c r="A48" t="s">
        <v>560</v>
      </c>
      <c r="B48" t="s">
        <v>548</v>
      </c>
      <c r="D48" s="235"/>
      <c r="E48" s="235">
        <v>7.0000000000000034E-2</v>
      </c>
      <c r="F48" s="235">
        <v>7.0000000000000145E-2</v>
      </c>
      <c r="G48" s="235">
        <v>7.0000000000000145E-2</v>
      </c>
      <c r="H48" s="235">
        <v>7.0000000000000145E-2</v>
      </c>
    </row>
    <row r="49" spans="1:26" x14ac:dyDescent="0.25">
      <c r="A49" t="s">
        <v>561</v>
      </c>
      <c r="B49" t="s">
        <v>548</v>
      </c>
      <c r="D49" s="235">
        <v>9.999999999999995E-2</v>
      </c>
      <c r="E49" s="235">
        <v>7.0000000000000048E-2</v>
      </c>
      <c r="F49" s="235">
        <v>9.0000000000000011E-2</v>
      </c>
      <c r="G49" s="235">
        <v>9.0000000000000011E-2</v>
      </c>
      <c r="H49" s="235">
        <v>9.0000000000000011E-2</v>
      </c>
    </row>
    <row r="50" spans="1:26" x14ac:dyDescent="0.25">
      <c r="A50" t="s">
        <v>180</v>
      </c>
      <c r="D50" s="235"/>
      <c r="E50" s="235"/>
      <c r="F50" s="235"/>
      <c r="G50" s="235"/>
      <c r="H50" s="235"/>
    </row>
    <row r="51" spans="1:26" x14ac:dyDescent="0.25">
      <c r="A51" t="s">
        <v>181</v>
      </c>
      <c r="D51" s="235"/>
      <c r="E51" s="235"/>
      <c r="F51" s="235"/>
      <c r="G51" s="235"/>
      <c r="H51" s="235"/>
    </row>
    <row r="52" spans="1:26" x14ac:dyDescent="0.25">
      <c r="A52" t="s">
        <v>182</v>
      </c>
      <c r="D52" s="235"/>
      <c r="E52" s="235"/>
      <c r="F52" s="235"/>
      <c r="G52" s="235"/>
      <c r="H52" s="235"/>
      <c r="T52" s="14"/>
    </row>
    <row r="53" spans="1:26" s="14" customFormat="1" x14ac:dyDescent="0.25">
      <c r="A53"/>
      <c r="B53"/>
      <c r="C53"/>
      <c r="D53" s="12"/>
      <c r="E53" s="12"/>
      <c r="F53" s="12"/>
      <c r="G53" s="12"/>
      <c r="H53" s="12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x14ac:dyDescent="0.25">
      <c r="A54" s="229" t="s">
        <v>185</v>
      </c>
      <c r="B54" s="229"/>
      <c r="D54" s="12"/>
      <c r="E54" s="12"/>
      <c r="F54" s="12"/>
      <c r="G54" s="12"/>
      <c r="H54" s="12"/>
      <c r="K54" s="14"/>
      <c r="L54" s="14"/>
      <c r="M54" s="14"/>
      <c r="N54" s="14"/>
      <c r="O54" s="14"/>
      <c r="P54" s="14"/>
      <c r="Q54" s="14"/>
      <c r="R54" s="14"/>
      <c r="S54" s="14"/>
    </row>
    <row r="55" spans="1:26" x14ac:dyDescent="0.25">
      <c r="A55" t="s">
        <v>187</v>
      </c>
      <c r="D55" s="252">
        <v>13000</v>
      </c>
      <c r="E55" s="252">
        <v>14000</v>
      </c>
      <c r="F55" s="252">
        <v>14000</v>
      </c>
      <c r="G55" s="252">
        <v>14000</v>
      </c>
      <c r="H55" s="252">
        <v>14000</v>
      </c>
      <c r="T55" s="14"/>
    </row>
    <row r="56" spans="1:26" x14ac:dyDescent="0.25">
      <c r="A56" t="s">
        <v>186</v>
      </c>
      <c r="D56" s="252">
        <v>0</v>
      </c>
      <c r="E56" s="252">
        <v>0</v>
      </c>
      <c r="F56" s="252">
        <v>0</v>
      </c>
      <c r="G56" s="252">
        <v>0</v>
      </c>
      <c r="H56" s="252">
        <v>0</v>
      </c>
    </row>
    <row r="57" spans="1:26" s="14" customFormat="1" x14ac:dyDescent="0.25">
      <c r="A57" s="36" t="s">
        <v>188</v>
      </c>
      <c r="B57"/>
      <c r="C57"/>
      <c r="D57" s="237">
        <f>SUM(D55:D56)</f>
        <v>13000</v>
      </c>
      <c r="E57" s="237">
        <f t="shared" ref="E57:H57" si="20">SUM(E55:E56)</f>
        <v>14000</v>
      </c>
      <c r="F57" s="237">
        <f t="shared" si="20"/>
        <v>14000</v>
      </c>
      <c r="G57" s="237">
        <f t="shared" si="20"/>
        <v>14000</v>
      </c>
      <c r="H57" s="237">
        <f t="shared" si="20"/>
        <v>14000</v>
      </c>
      <c r="I57"/>
      <c r="J57"/>
      <c r="K57"/>
      <c r="L57"/>
      <c r="M57"/>
      <c r="N57"/>
      <c r="O57"/>
      <c r="P57"/>
      <c r="Q57"/>
      <c r="R57"/>
      <c r="S57"/>
      <c r="U57"/>
      <c r="V57"/>
      <c r="W57"/>
      <c r="X57"/>
      <c r="Y57"/>
      <c r="Z57"/>
    </row>
    <row r="58" spans="1:26" s="14" customFormat="1" x14ac:dyDescent="0.25">
      <c r="A58"/>
      <c r="B58"/>
      <c r="C58"/>
      <c r="D58" s="12"/>
      <c r="E58" s="12"/>
      <c r="F58" s="12"/>
      <c r="G58" s="12"/>
      <c r="H58" s="12"/>
      <c r="I58"/>
      <c r="J58"/>
      <c r="T58"/>
      <c r="U58"/>
      <c r="V58"/>
      <c r="W58"/>
      <c r="X58"/>
      <c r="Y58"/>
      <c r="Z58"/>
    </row>
    <row r="59" spans="1:26" x14ac:dyDescent="0.25">
      <c r="A59" s="229" t="s">
        <v>2</v>
      </c>
      <c r="B59" s="229" t="s">
        <v>179</v>
      </c>
      <c r="D59"/>
      <c r="E59"/>
      <c r="F59"/>
      <c r="G59"/>
      <c r="H59"/>
      <c r="K59" s="14"/>
      <c r="L59" s="14"/>
      <c r="M59" s="14"/>
      <c r="N59" s="14"/>
      <c r="O59" s="14"/>
      <c r="P59" s="14"/>
      <c r="Q59" s="14"/>
      <c r="R59" s="14"/>
      <c r="S59" s="14"/>
    </row>
    <row r="60" spans="1:26" x14ac:dyDescent="0.25">
      <c r="A60" t="s">
        <v>208</v>
      </c>
      <c r="B60" t="s">
        <v>551</v>
      </c>
      <c r="D60" s="233">
        <f>D6*D23</f>
        <v>238283.85750000001</v>
      </c>
      <c r="E60" s="233">
        <f t="shared" ref="E60:H60" si="21">E6*E23</f>
        <v>302684.95116934832</v>
      </c>
      <c r="F60" s="233">
        <f t="shared" si="21"/>
        <v>333745.02119279536</v>
      </c>
      <c r="G60" s="233">
        <f t="shared" si="21"/>
        <v>340419.92161665129</v>
      </c>
      <c r="H60" s="233">
        <f t="shared" si="21"/>
        <v>114084.74176928122</v>
      </c>
    </row>
    <row r="61" spans="1:26" x14ac:dyDescent="0.25">
      <c r="A61" t="s">
        <v>209</v>
      </c>
      <c r="B61" t="s">
        <v>554</v>
      </c>
      <c r="D61" s="233">
        <f t="shared" ref="D61:H73" si="22">D7*D24</f>
        <v>2486.25</v>
      </c>
      <c r="E61" s="233">
        <f t="shared" si="22"/>
        <v>0</v>
      </c>
      <c r="F61" s="233">
        <f t="shared" si="22"/>
        <v>0</v>
      </c>
      <c r="G61" s="233">
        <f t="shared" si="22"/>
        <v>0</v>
      </c>
      <c r="H61" s="233">
        <f t="shared" si="22"/>
        <v>0</v>
      </c>
    </row>
    <row r="62" spans="1:26" x14ac:dyDescent="0.25">
      <c r="A62" t="s">
        <v>210</v>
      </c>
      <c r="B62" t="s">
        <v>554</v>
      </c>
      <c r="D62" s="233">
        <f t="shared" si="22"/>
        <v>41437.5</v>
      </c>
      <c r="E62" s="233">
        <f t="shared" si="22"/>
        <v>43129.772605648293</v>
      </c>
      <c r="F62" s="233">
        <f t="shared" si="22"/>
        <v>44430.588413383419</v>
      </c>
      <c r="G62" s="233">
        <f t="shared" si="22"/>
        <v>45319.200181651089</v>
      </c>
      <c r="H62" s="233">
        <f t="shared" si="22"/>
        <v>46225.584185284119</v>
      </c>
    </row>
    <row r="63" spans="1:26" x14ac:dyDescent="0.25">
      <c r="A63" t="s">
        <v>557</v>
      </c>
      <c r="B63" t="s">
        <v>554</v>
      </c>
      <c r="D63" s="233">
        <f t="shared" si="22"/>
        <v>133722</v>
      </c>
      <c r="E63" s="233">
        <f t="shared" si="22"/>
        <v>151710.63397777578</v>
      </c>
      <c r="F63" s="233">
        <f t="shared" si="22"/>
        <v>140756.10409359867</v>
      </c>
      <c r="G63" s="233">
        <f t="shared" si="22"/>
        <v>93321.297014055934</v>
      </c>
      <c r="H63" s="233">
        <f t="shared" si="22"/>
        <v>95187.722954337063</v>
      </c>
    </row>
    <row r="64" spans="1:26" x14ac:dyDescent="0.25">
      <c r="A64" t="s">
        <v>558</v>
      </c>
      <c r="B64" t="s">
        <v>554</v>
      </c>
      <c r="D64" s="233">
        <f t="shared" si="22"/>
        <v>0</v>
      </c>
      <c r="E64" s="233">
        <f t="shared" si="22"/>
        <v>0</v>
      </c>
      <c r="F64" s="233">
        <f t="shared" si="22"/>
        <v>0</v>
      </c>
      <c r="G64" s="233">
        <f t="shared" si="22"/>
        <v>0</v>
      </c>
      <c r="H64" s="233">
        <f t="shared" si="22"/>
        <v>0</v>
      </c>
    </row>
    <row r="65" spans="1:26" x14ac:dyDescent="0.25">
      <c r="A65" t="s">
        <v>558</v>
      </c>
      <c r="B65" t="s">
        <v>548</v>
      </c>
      <c r="D65" s="233">
        <f t="shared" si="22"/>
        <v>92343.455999999991</v>
      </c>
      <c r="E65" s="233">
        <f t="shared" si="22"/>
        <v>75369.932139258046</v>
      </c>
      <c r="F65" s="233">
        <f t="shared" si="22"/>
        <v>66916.65930442563</v>
      </c>
      <c r="G65" s="233">
        <f t="shared" si="22"/>
        <v>68254.992490514138</v>
      </c>
      <c r="H65" s="233">
        <f t="shared" si="22"/>
        <v>69620.092340324423</v>
      </c>
    </row>
    <row r="66" spans="1:26" x14ac:dyDescent="0.25">
      <c r="A66" t="s">
        <v>559</v>
      </c>
      <c r="B66" t="s">
        <v>554</v>
      </c>
      <c r="D66" s="233">
        <f t="shared" si="22"/>
        <v>0</v>
      </c>
      <c r="E66" s="233">
        <f t="shared" si="22"/>
        <v>0</v>
      </c>
      <c r="F66" s="233">
        <f t="shared" si="22"/>
        <v>0</v>
      </c>
      <c r="G66" s="233">
        <f t="shared" si="22"/>
        <v>0</v>
      </c>
      <c r="H66" s="233">
        <f t="shared" si="22"/>
        <v>0</v>
      </c>
    </row>
    <row r="67" spans="1:26" x14ac:dyDescent="0.25">
      <c r="A67" t="s">
        <v>559</v>
      </c>
      <c r="B67" t="s">
        <v>548</v>
      </c>
      <c r="D67" s="233">
        <f t="shared" si="22"/>
        <v>321916.99391999998</v>
      </c>
      <c r="E67" s="233">
        <f t="shared" si="22"/>
        <v>376371.7371646142</v>
      </c>
      <c r="F67" s="233">
        <f t="shared" si="22"/>
        <v>389697.95350270165</v>
      </c>
      <c r="G67" s="233">
        <f t="shared" si="22"/>
        <v>397491.91257275571</v>
      </c>
      <c r="H67" s="233">
        <f t="shared" si="22"/>
        <v>256803.74387142819</v>
      </c>
    </row>
    <row r="68" spans="1:26" x14ac:dyDescent="0.25">
      <c r="A68" t="s">
        <v>560</v>
      </c>
      <c r="B68" t="s">
        <v>554</v>
      </c>
      <c r="D68" s="233">
        <f t="shared" si="22"/>
        <v>0</v>
      </c>
      <c r="E68" s="233">
        <f t="shared" si="22"/>
        <v>0</v>
      </c>
      <c r="F68" s="233">
        <f t="shared" si="22"/>
        <v>0</v>
      </c>
      <c r="G68" s="233">
        <f t="shared" si="22"/>
        <v>0</v>
      </c>
      <c r="H68" s="233">
        <f t="shared" si="22"/>
        <v>0</v>
      </c>
      <c r="K68" s="245"/>
    </row>
    <row r="69" spans="1:26" x14ac:dyDescent="0.25">
      <c r="A69" t="s">
        <v>560</v>
      </c>
      <c r="B69" t="s">
        <v>548</v>
      </c>
      <c r="D69" s="233">
        <f t="shared" si="22"/>
        <v>0</v>
      </c>
      <c r="E69" s="233">
        <f t="shared" si="22"/>
        <v>0</v>
      </c>
      <c r="F69" s="233">
        <f t="shared" si="22"/>
        <v>0</v>
      </c>
      <c r="G69" s="233">
        <f t="shared" si="22"/>
        <v>0</v>
      </c>
      <c r="H69" s="233">
        <f t="shared" si="22"/>
        <v>0</v>
      </c>
      <c r="K69" s="245"/>
    </row>
    <row r="70" spans="1:26" x14ac:dyDescent="0.25">
      <c r="A70" t="s">
        <v>561</v>
      </c>
      <c r="B70" t="s">
        <v>548</v>
      </c>
      <c r="D70" s="233">
        <f t="shared" si="22"/>
        <v>23795.585099999997</v>
      </c>
      <c r="E70" s="233">
        <f t="shared" si="22"/>
        <v>43681.440489096494</v>
      </c>
      <c r="F70" s="233">
        <f t="shared" si="22"/>
        <v>53998.673855857465</v>
      </c>
      <c r="G70" s="233">
        <f t="shared" si="22"/>
        <v>55078.647332974615</v>
      </c>
      <c r="H70" s="233">
        <f t="shared" si="22"/>
        <v>93633.700466056849</v>
      </c>
    </row>
    <row r="71" spans="1:26" x14ac:dyDescent="0.25">
      <c r="A71" t="s">
        <v>180</v>
      </c>
      <c r="D71" s="233">
        <f t="shared" si="22"/>
        <v>0</v>
      </c>
      <c r="E71" s="233">
        <f t="shared" si="22"/>
        <v>0</v>
      </c>
      <c r="F71" s="233">
        <f t="shared" si="22"/>
        <v>0</v>
      </c>
      <c r="G71" s="233">
        <f t="shared" si="22"/>
        <v>0</v>
      </c>
      <c r="H71" s="233">
        <f t="shared" si="22"/>
        <v>0</v>
      </c>
    </row>
    <row r="72" spans="1:26" x14ac:dyDescent="0.25">
      <c r="A72" t="s">
        <v>181</v>
      </c>
      <c r="D72" s="233">
        <f t="shared" si="22"/>
        <v>0</v>
      </c>
      <c r="E72" s="233">
        <f t="shared" si="22"/>
        <v>0</v>
      </c>
      <c r="F72" s="233">
        <f t="shared" si="22"/>
        <v>0</v>
      </c>
      <c r="G72" s="233">
        <f t="shared" si="22"/>
        <v>0</v>
      </c>
      <c r="H72" s="233">
        <f t="shared" si="22"/>
        <v>0</v>
      </c>
    </row>
    <row r="73" spans="1:26" x14ac:dyDescent="0.25">
      <c r="A73" t="s">
        <v>182</v>
      </c>
      <c r="D73" s="233">
        <f t="shared" si="22"/>
        <v>0</v>
      </c>
      <c r="E73" s="233">
        <f t="shared" si="22"/>
        <v>0</v>
      </c>
      <c r="F73" s="233">
        <f t="shared" si="22"/>
        <v>0</v>
      </c>
      <c r="G73" s="233">
        <f t="shared" si="22"/>
        <v>0</v>
      </c>
      <c r="H73" s="233">
        <f t="shared" si="22"/>
        <v>0</v>
      </c>
      <c r="T73" s="14"/>
    </row>
    <row r="74" spans="1:26" s="14" customFormat="1" x14ac:dyDescent="0.25">
      <c r="A74" s="36" t="s">
        <v>189</v>
      </c>
      <c r="B74" s="36"/>
      <c r="C74" s="36"/>
      <c r="D74" s="237">
        <f>SUM(D60:D73)</f>
        <v>853985.64251999999</v>
      </c>
      <c r="E74" s="237">
        <f t="shared" ref="E74:H74" si="23">SUM(E60:E73)</f>
        <v>992948.46754574112</v>
      </c>
      <c r="F74" s="237">
        <f t="shared" si="23"/>
        <v>1029545.0003627623</v>
      </c>
      <c r="G74" s="237">
        <f t="shared" si="23"/>
        <v>999885.97120860277</v>
      </c>
      <c r="H74" s="237">
        <f t="shared" si="23"/>
        <v>675555.58558671176</v>
      </c>
      <c r="I74"/>
      <c r="J74"/>
      <c r="K74"/>
      <c r="L74"/>
      <c r="M74"/>
      <c r="N74"/>
      <c r="O74"/>
      <c r="P74"/>
      <c r="Q74"/>
      <c r="R74"/>
      <c r="S74"/>
      <c r="U74"/>
      <c r="V74"/>
      <c r="W74"/>
      <c r="X74"/>
      <c r="Y74"/>
      <c r="Z74"/>
    </row>
    <row r="75" spans="1:26" s="14" customFormat="1" x14ac:dyDescent="0.25">
      <c r="A75"/>
      <c r="B75"/>
      <c r="C75"/>
      <c r="D75" s="12"/>
      <c r="E75" s="12"/>
      <c r="F75" s="12"/>
      <c r="G75" s="12"/>
      <c r="H75" s="12"/>
      <c r="I75"/>
      <c r="J75"/>
      <c r="T75"/>
      <c r="U75"/>
      <c r="V75"/>
      <c r="W75"/>
      <c r="X75"/>
      <c r="Y75"/>
      <c r="Z75"/>
    </row>
    <row r="76" spans="1:26" x14ac:dyDescent="0.25">
      <c r="A76" s="229" t="s">
        <v>190</v>
      </c>
      <c r="B76" s="229" t="s">
        <v>179</v>
      </c>
      <c r="D76"/>
      <c r="E76"/>
      <c r="F76"/>
      <c r="G76"/>
      <c r="H76"/>
      <c r="K76" s="14"/>
      <c r="L76" s="14"/>
      <c r="M76" s="14"/>
      <c r="N76" s="14"/>
      <c r="O76" s="14"/>
      <c r="P76" s="14"/>
      <c r="Q76" s="14"/>
      <c r="R76" s="14"/>
      <c r="S76" s="14"/>
    </row>
    <row r="77" spans="1:26" x14ac:dyDescent="0.25">
      <c r="A77" t="s">
        <v>208</v>
      </c>
      <c r="B77" t="s">
        <v>551</v>
      </c>
      <c r="D77" s="233">
        <f t="shared" ref="D77:H90" si="24">D60*(1-D39)</f>
        <v>221603.987475</v>
      </c>
      <c r="E77" s="233">
        <f t="shared" si="24"/>
        <v>281497.0045874939</v>
      </c>
      <c r="F77" s="233">
        <f t="shared" si="24"/>
        <v>310382.86970929964</v>
      </c>
      <c r="G77" s="233">
        <f t="shared" si="24"/>
        <v>316590.52710348566</v>
      </c>
      <c r="H77" s="233">
        <f t="shared" si="24"/>
        <v>106098.80984543152</v>
      </c>
    </row>
    <row r="78" spans="1:26" x14ac:dyDescent="0.25">
      <c r="A78" t="s">
        <v>209</v>
      </c>
      <c r="B78" t="s">
        <v>554</v>
      </c>
      <c r="D78" s="233">
        <f t="shared" si="24"/>
        <v>2287.35</v>
      </c>
      <c r="E78" s="233">
        <f t="shared" si="24"/>
        <v>0</v>
      </c>
      <c r="F78" s="233">
        <f t="shared" si="24"/>
        <v>0</v>
      </c>
      <c r="G78" s="233">
        <f t="shared" si="24"/>
        <v>0</v>
      </c>
      <c r="H78" s="233">
        <f t="shared" si="24"/>
        <v>0</v>
      </c>
    </row>
    <row r="79" spans="1:26" x14ac:dyDescent="0.25">
      <c r="A79" t="s">
        <v>210</v>
      </c>
      <c r="B79" t="s">
        <v>554</v>
      </c>
      <c r="D79" s="233">
        <f t="shared" si="24"/>
        <v>38122.5</v>
      </c>
      <c r="E79" s="233">
        <f t="shared" si="24"/>
        <v>39679.390797196429</v>
      </c>
      <c r="F79" s="233">
        <f t="shared" si="24"/>
        <v>40876.141340312744</v>
      </c>
      <c r="G79" s="233">
        <f t="shared" si="24"/>
        <v>41693.664167119001</v>
      </c>
      <c r="H79" s="233">
        <f t="shared" si="24"/>
        <v>42527.537450461386</v>
      </c>
    </row>
    <row r="80" spans="1:26" x14ac:dyDescent="0.25">
      <c r="A80" t="s">
        <v>557</v>
      </c>
      <c r="B80" t="s">
        <v>554</v>
      </c>
      <c r="D80" s="233">
        <f t="shared" si="24"/>
        <v>124361.45999999999</v>
      </c>
      <c r="E80" s="233">
        <f t="shared" si="24"/>
        <v>141090.88959933145</v>
      </c>
      <c r="F80" s="233">
        <f t="shared" si="24"/>
        <v>130903.17680704675</v>
      </c>
      <c r="G80" s="233">
        <f t="shared" si="24"/>
        <v>86788.80622307201</v>
      </c>
      <c r="H80" s="233">
        <f t="shared" si="24"/>
        <v>88524.582347533462</v>
      </c>
    </row>
    <row r="81" spans="1:26" x14ac:dyDescent="0.25">
      <c r="A81" t="s">
        <v>558</v>
      </c>
      <c r="B81" t="s">
        <v>554</v>
      </c>
      <c r="D81" s="233">
        <f t="shared" si="24"/>
        <v>0</v>
      </c>
      <c r="E81" s="233">
        <f t="shared" si="24"/>
        <v>0</v>
      </c>
      <c r="F81" s="233">
        <f t="shared" si="24"/>
        <v>0</v>
      </c>
      <c r="G81" s="233">
        <f t="shared" si="24"/>
        <v>0</v>
      </c>
      <c r="H81" s="233">
        <f t="shared" si="24"/>
        <v>0</v>
      </c>
    </row>
    <row r="82" spans="1:26" x14ac:dyDescent="0.25">
      <c r="A82" t="s">
        <v>558</v>
      </c>
      <c r="B82" t="s">
        <v>548</v>
      </c>
      <c r="D82" s="233">
        <f t="shared" si="24"/>
        <v>84955.979519999979</v>
      </c>
      <c r="E82" s="233">
        <f t="shared" si="24"/>
        <v>68586.638246724833</v>
      </c>
      <c r="F82" s="233">
        <f t="shared" si="24"/>
        <v>60894.159967027335</v>
      </c>
      <c r="G82" s="233">
        <f t="shared" si="24"/>
        <v>62112.043166367876</v>
      </c>
      <c r="H82" s="233">
        <f t="shared" si="24"/>
        <v>63354.284029695234</v>
      </c>
    </row>
    <row r="83" spans="1:26" x14ac:dyDescent="0.25">
      <c r="A83" t="s">
        <v>559</v>
      </c>
      <c r="B83" t="s">
        <v>554</v>
      </c>
      <c r="D83" s="233">
        <f t="shared" si="24"/>
        <v>0</v>
      </c>
      <c r="E83" s="233">
        <f t="shared" si="24"/>
        <v>0</v>
      </c>
      <c r="F83" s="233">
        <f t="shared" si="24"/>
        <v>0</v>
      </c>
      <c r="G83" s="233">
        <f t="shared" si="24"/>
        <v>0</v>
      </c>
      <c r="H83" s="233">
        <f t="shared" si="24"/>
        <v>0</v>
      </c>
    </row>
    <row r="84" spans="1:26" x14ac:dyDescent="0.25">
      <c r="A84" t="s">
        <v>559</v>
      </c>
      <c r="B84" t="s">
        <v>548</v>
      </c>
      <c r="D84" s="233">
        <f t="shared" si="24"/>
        <v>296163.63440639997</v>
      </c>
      <c r="E84" s="233">
        <f t="shared" si="24"/>
        <v>342498.28081979894</v>
      </c>
      <c r="F84" s="233">
        <f t="shared" si="24"/>
        <v>354625.13768745854</v>
      </c>
      <c r="G84" s="233">
        <f t="shared" si="24"/>
        <v>361717.64044120768</v>
      </c>
      <c r="H84" s="233">
        <f t="shared" si="24"/>
        <v>233691.40692299965</v>
      </c>
    </row>
    <row r="85" spans="1:26" x14ac:dyDescent="0.25">
      <c r="A85" t="s">
        <v>560</v>
      </c>
      <c r="B85" t="s">
        <v>554</v>
      </c>
      <c r="D85" s="233">
        <f t="shared" si="24"/>
        <v>0</v>
      </c>
      <c r="E85" s="233">
        <f t="shared" si="24"/>
        <v>0</v>
      </c>
      <c r="F85" s="233">
        <f t="shared" si="24"/>
        <v>0</v>
      </c>
      <c r="G85" s="233">
        <f t="shared" si="24"/>
        <v>0</v>
      </c>
      <c r="H85" s="233">
        <f t="shared" si="24"/>
        <v>0</v>
      </c>
    </row>
    <row r="86" spans="1:26" x14ac:dyDescent="0.25">
      <c r="A86" t="s">
        <v>560</v>
      </c>
      <c r="B86" t="s">
        <v>548</v>
      </c>
      <c r="D86" s="233">
        <f t="shared" si="24"/>
        <v>0</v>
      </c>
      <c r="E86" s="233">
        <f t="shared" si="24"/>
        <v>0</v>
      </c>
      <c r="F86" s="233">
        <f t="shared" si="24"/>
        <v>0</v>
      </c>
      <c r="G86" s="233">
        <f t="shared" si="24"/>
        <v>0</v>
      </c>
      <c r="H86" s="233">
        <f t="shared" si="24"/>
        <v>0</v>
      </c>
    </row>
    <row r="87" spans="1:26" x14ac:dyDescent="0.25">
      <c r="A87" t="s">
        <v>561</v>
      </c>
      <c r="B87" t="s">
        <v>548</v>
      </c>
      <c r="D87" s="233">
        <f t="shared" si="24"/>
        <v>21416.026589999998</v>
      </c>
      <c r="E87" s="233">
        <f t="shared" si="24"/>
        <v>40623.739654859739</v>
      </c>
      <c r="F87" s="233">
        <f t="shared" si="24"/>
        <v>49138.793208830299</v>
      </c>
      <c r="G87" s="233">
        <f t="shared" si="24"/>
        <v>50121.569073006904</v>
      </c>
      <c r="H87" s="233">
        <f t="shared" si="24"/>
        <v>85206.667424111729</v>
      </c>
    </row>
    <row r="88" spans="1:26" x14ac:dyDescent="0.25">
      <c r="A88" t="s">
        <v>180</v>
      </c>
      <c r="D88" s="233">
        <f t="shared" si="24"/>
        <v>0</v>
      </c>
      <c r="E88" s="233">
        <f t="shared" si="24"/>
        <v>0</v>
      </c>
      <c r="F88" s="233">
        <f t="shared" si="24"/>
        <v>0</v>
      </c>
      <c r="G88" s="233">
        <f t="shared" si="24"/>
        <v>0</v>
      </c>
      <c r="H88" s="233">
        <f t="shared" si="24"/>
        <v>0</v>
      </c>
    </row>
    <row r="89" spans="1:26" x14ac:dyDescent="0.25">
      <c r="A89" t="s">
        <v>181</v>
      </c>
      <c r="D89" s="233">
        <f t="shared" si="24"/>
        <v>0</v>
      </c>
      <c r="E89" s="233">
        <f t="shared" si="24"/>
        <v>0</v>
      </c>
      <c r="F89" s="233">
        <f t="shared" si="24"/>
        <v>0</v>
      </c>
      <c r="G89" s="233">
        <f t="shared" si="24"/>
        <v>0</v>
      </c>
      <c r="H89" s="233">
        <f t="shared" si="24"/>
        <v>0</v>
      </c>
    </row>
    <row r="90" spans="1:26" x14ac:dyDescent="0.25">
      <c r="A90" t="s">
        <v>182</v>
      </c>
      <c r="D90" s="233">
        <f t="shared" si="24"/>
        <v>0</v>
      </c>
      <c r="E90" s="233">
        <f t="shared" si="24"/>
        <v>0</v>
      </c>
      <c r="F90" s="233">
        <f t="shared" si="24"/>
        <v>0</v>
      </c>
      <c r="G90" s="233">
        <f t="shared" si="24"/>
        <v>0</v>
      </c>
      <c r="H90" s="233">
        <f t="shared" si="24"/>
        <v>0</v>
      </c>
    </row>
    <row r="91" spans="1:26" x14ac:dyDescent="0.25">
      <c r="A91" t="s">
        <v>191</v>
      </c>
      <c r="D91" s="232"/>
      <c r="E91" s="232"/>
      <c r="F91" s="232"/>
      <c r="G91" s="232"/>
      <c r="H91" s="232"/>
      <c r="T91" s="14"/>
    </row>
    <row r="92" spans="1:26" s="14" customFormat="1" x14ac:dyDescent="0.25">
      <c r="A92" s="36" t="s">
        <v>192</v>
      </c>
      <c r="B92" s="36"/>
      <c r="C92" s="36"/>
      <c r="D92" s="237">
        <f>SUM(D77:D91)</f>
        <v>788910.93799140002</v>
      </c>
      <c r="E92" s="237">
        <f t="shared" ref="E92:H92" si="25">SUM(E77:E91)</f>
        <v>913975.94370540534</v>
      </c>
      <c r="F92" s="237">
        <f t="shared" si="25"/>
        <v>946820.27871997526</v>
      </c>
      <c r="G92" s="237">
        <f t="shared" si="25"/>
        <v>919024.25017425907</v>
      </c>
      <c r="H92" s="237">
        <f t="shared" si="25"/>
        <v>619403.28802023304</v>
      </c>
      <c r="I92"/>
      <c r="J92"/>
      <c r="K92"/>
      <c r="L92"/>
      <c r="M92"/>
      <c r="N92"/>
      <c r="O92"/>
      <c r="P92"/>
      <c r="Q92"/>
      <c r="R92"/>
      <c r="S92"/>
      <c r="U92"/>
      <c r="V92"/>
      <c r="W92"/>
      <c r="X92"/>
      <c r="Y92"/>
      <c r="Z92"/>
    </row>
    <row r="93" spans="1:26" s="14" customFormat="1" x14ac:dyDescent="0.25">
      <c r="A93"/>
      <c r="B93"/>
      <c r="C93"/>
      <c r="D93" s="12"/>
      <c r="E93" s="12"/>
      <c r="F93" s="12"/>
      <c r="G93" s="12"/>
      <c r="H93" s="12"/>
      <c r="I93"/>
      <c r="J93"/>
      <c r="T93"/>
      <c r="U93"/>
      <c r="V93"/>
      <c r="W93"/>
      <c r="X93"/>
      <c r="Y93"/>
      <c r="Z93"/>
    </row>
    <row r="94" spans="1:26" x14ac:dyDescent="0.25">
      <c r="A94" s="229" t="s">
        <v>193</v>
      </c>
      <c r="B94" s="229" t="s">
        <v>179</v>
      </c>
      <c r="D94"/>
      <c r="E94"/>
      <c r="F94"/>
      <c r="G94"/>
      <c r="H94"/>
      <c r="K94" s="14"/>
      <c r="L94" s="14"/>
      <c r="M94" s="14"/>
      <c r="N94" s="14"/>
      <c r="O94" s="14"/>
      <c r="P94" s="14"/>
      <c r="Q94" s="14"/>
      <c r="R94" s="14"/>
      <c r="S94" s="14"/>
    </row>
    <row r="95" spans="1:26" x14ac:dyDescent="0.25">
      <c r="A95" t="s">
        <v>208</v>
      </c>
      <c r="B95" t="s">
        <v>551</v>
      </c>
      <c r="D95" s="233">
        <f>D60-D77</f>
        <v>16679.870025000011</v>
      </c>
      <c r="E95" s="233">
        <f t="shared" ref="E95:H95" si="26">E60-E77</f>
        <v>21187.946581854427</v>
      </c>
      <c r="F95" s="233">
        <f t="shared" si="26"/>
        <v>23362.15148349572</v>
      </c>
      <c r="G95" s="233">
        <f t="shared" si="26"/>
        <v>23829.394513165636</v>
      </c>
      <c r="H95" s="233">
        <f t="shared" si="26"/>
        <v>7985.9319238496973</v>
      </c>
    </row>
    <row r="96" spans="1:26" x14ac:dyDescent="0.25">
      <c r="A96" t="s">
        <v>209</v>
      </c>
      <c r="B96" t="s">
        <v>554</v>
      </c>
      <c r="D96" s="233">
        <f t="shared" ref="D96:H108" si="27">D61-D78</f>
        <v>198.90000000000009</v>
      </c>
      <c r="E96" s="233">
        <f t="shared" si="27"/>
        <v>0</v>
      </c>
      <c r="F96" s="233">
        <f t="shared" si="27"/>
        <v>0</v>
      </c>
      <c r="G96" s="233">
        <f t="shared" si="27"/>
        <v>0</v>
      </c>
      <c r="H96" s="233">
        <f t="shared" si="27"/>
        <v>0</v>
      </c>
    </row>
    <row r="97" spans="1:20" x14ac:dyDescent="0.25">
      <c r="A97" t="s">
        <v>210</v>
      </c>
      <c r="B97" t="s">
        <v>554</v>
      </c>
      <c r="D97" s="233">
        <f t="shared" si="27"/>
        <v>3315</v>
      </c>
      <c r="E97" s="233">
        <f t="shared" si="27"/>
        <v>3450.3818084518643</v>
      </c>
      <c r="F97" s="233">
        <f t="shared" si="27"/>
        <v>3554.4470730706744</v>
      </c>
      <c r="G97" s="233">
        <f t="shared" si="27"/>
        <v>3625.5360145320883</v>
      </c>
      <c r="H97" s="233">
        <f t="shared" si="27"/>
        <v>3698.0467348227321</v>
      </c>
    </row>
    <row r="98" spans="1:20" x14ac:dyDescent="0.25">
      <c r="A98" t="s">
        <v>557</v>
      </c>
      <c r="B98" t="s">
        <v>554</v>
      </c>
      <c r="D98" s="233">
        <f t="shared" si="27"/>
        <v>9360.5400000000081</v>
      </c>
      <c r="E98" s="233">
        <f t="shared" si="27"/>
        <v>10619.744378444331</v>
      </c>
      <c r="F98" s="233">
        <f t="shared" si="27"/>
        <v>9852.927286551916</v>
      </c>
      <c r="G98" s="233">
        <f t="shared" si="27"/>
        <v>6532.4907909839239</v>
      </c>
      <c r="H98" s="233">
        <f t="shared" si="27"/>
        <v>6663.1406068036013</v>
      </c>
    </row>
    <row r="99" spans="1:20" x14ac:dyDescent="0.25">
      <c r="A99" t="s">
        <v>558</v>
      </c>
      <c r="B99" t="s">
        <v>554</v>
      </c>
      <c r="D99" s="233">
        <f t="shared" si="27"/>
        <v>0</v>
      </c>
      <c r="E99" s="233">
        <f t="shared" si="27"/>
        <v>0</v>
      </c>
      <c r="F99" s="233">
        <f t="shared" si="27"/>
        <v>0</v>
      </c>
      <c r="G99" s="233">
        <f t="shared" si="27"/>
        <v>0</v>
      </c>
      <c r="H99" s="233">
        <f t="shared" si="27"/>
        <v>0</v>
      </c>
    </row>
    <row r="100" spans="1:20" x14ac:dyDescent="0.25">
      <c r="A100" t="s">
        <v>558</v>
      </c>
      <c r="B100" t="s">
        <v>548</v>
      </c>
      <c r="D100" s="233">
        <f t="shared" si="27"/>
        <v>7387.4764800000121</v>
      </c>
      <c r="E100" s="233">
        <f t="shared" si="27"/>
        <v>6783.2938925332128</v>
      </c>
      <c r="F100" s="233">
        <f t="shared" si="27"/>
        <v>6022.4993373982943</v>
      </c>
      <c r="G100" s="233">
        <f t="shared" si="27"/>
        <v>6142.9493241462624</v>
      </c>
      <c r="H100" s="233">
        <f t="shared" si="27"/>
        <v>6265.8083106291888</v>
      </c>
    </row>
    <row r="101" spans="1:20" x14ac:dyDescent="0.25">
      <c r="A101" t="s">
        <v>559</v>
      </c>
      <c r="B101" t="s">
        <v>554</v>
      </c>
      <c r="D101" s="233">
        <f t="shared" si="27"/>
        <v>0</v>
      </c>
      <c r="E101" s="233">
        <f t="shared" si="27"/>
        <v>0</v>
      </c>
      <c r="F101" s="233">
        <f t="shared" si="27"/>
        <v>0</v>
      </c>
      <c r="G101" s="233">
        <f t="shared" si="27"/>
        <v>0</v>
      </c>
      <c r="H101" s="233">
        <f t="shared" si="27"/>
        <v>0</v>
      </c>
    </row>
    <row r="102" spans="1:20" x14ac:dyDescent="0.25">
      <c r="A102" t="s">
        <v>559</v>
      </c>
      <c r="B102" t="s">
        <v>548</v>
      </c>
      <c r="D102" s="233">
        <f t="shared" si="27"/>
        <v>25753.359513600008</v>
      </c>
      <c r="E102" s="233">
        <f t="shared" si="27"/>
        <v>33873.456344815262</v>
      </c>
      <c r="F102" s="233">
        <f t="shared" si="27"/>
        <v>35072.815815243113</v>
      </c>
      <c r="G102" s="233">
        <f t="shared" si="27"/>
        <v>35774.27213154803</v>
      </c>
      <c r="H102" s="233">
        <f t="shared" si="27"/>
        <v>23112.336948428536</v>
      </c>
    </row>
    <row r="103" spans="1:20" x14ac:dyDescent="0.25">
      <c r="A103" t="s">
        <v>560</v>
      </c>
      <c r="B103" t="s">
        <v>554</v>
      </c>
      <c r="D103" s="233">
        <f t="shared" si="27"/>
        <v>0</v>
      </c>
      <c r="E103" s="233">
        <f t="shared" si="27"/>
        <v>0</v>
      </c>
      <c r="F103" s="233">
        <f t="shared" si="27"/>
        <v>0</v>
      </c>
      <c r="G103" s="233">
        <f t="shared" si="27"/>
        <v>0</v>
      </c>
      <c r="H103" s="233">
        <f t="shared" si="27"/>
        <v>0</v>
      </c>
    </row>
    <row r="104" spans="1:20" x14ac:dyDescent="0.25">
      <c r="A104" t="s">
        <v>560</v>
      </c>
      <c r="B104" t="s">
        <v>548</v>
      </c>
      <c r="D104" s="233">
        <f t="shared" si="27"/>
        <v>0</v>
      </c>
      <c r="E104" s="233">
        <f t="shared" si="27"/>
        <v>0</v>
      </c>
      <c r="F104" s="233">
        <f t="shared" si="27"/>
        <v>0</v>
      </c>
      <c r="G104" s="233">
        <f t="shared" si="27"/>
        <v>0</v>
      </c>
      <c r="H104" s="233">
        <f t="shared" si="27"/>
        <v>0</v>
      </c>
    </row>
    <row r="105" spans="1:20" x14ac:dyDescent="0.25">
      <c r="A105" t="s">
        <v>561</v>
      </c>
      <c r="B105" t="s">
        <v>548</v>
      </c>
      <c r="D105" s="233">
        <f t="shared" si="27"/>
        <v>2379.5585099999989</v>
      </c>
      <c r="E105" s="233">
        <f t="shared" si="27"/>
        <v>3057.7008342367553</v>
      </c>
      <c r="F105" s="233">
        <f t="shared" si="27"/>
        <v>4859.8806470271666</v>
      </c>
      <c r="G105" s="233">
        <f t="shared" si="27"/>
        <v>4957.0782599677113</v>
      </c>
      <c r="H105" s="233">
        <f t="shared" si="27"/>
        <v>8427.0330419451202</v>
      </c>
    </row>
    <row r="106" spans="1:20" x14ac:dyDescent="0.25">
      <c r="A106" t="s">
        <v>180</v>
      </c>
      <c r="D106" s="233">
        <f t="shared" si="27"/>
        <v>0</v>
      </c>
      <c r="E106" s="233">
        <f t="shared" si="27"/>
        <v>0</v>
      </c>
      <c r="F106" s="233">
        <f t="shared" si="27"/>
        <v>0</v>
      </c>
      <c r="G106" s="233">
        <f t="shared" si="27"/>
        <v>0</v>
      </c>
      <c r="H106" s="233">
        <f t="shared" si="27"/>
        <v>0</v>
      </c>
    </row>
    <row r="107" spans="1:20" x14ac:dyDescent="0.25">
      <c r="A107" t="s">
        <v>181</v>
      </c>
      <c r="D107" s="233">
        <f t="shared" si="27"/>
        <v>0</v>
      </c>
      <c r="E107" s="233">
        <f t="shared" si="27"/>
        <v>0</v>
      </c>
      <c r="F107" s="233">
        <f t="shared" si="27"/>
        <v>0</v>
      </c>
      <c r="G107" s="233">
        <f t="shared" si="27"/>
        <v>0</v>
      </c>
      <c r="H107" s="233">
        <f t="shared" si="27"/>
        <v>0</v>
      </c>
    </row>
    <row r="108" spans="1:20" x14ac:dyDescent="0.25">
      <c r="A108" t="s">
        <v>182</v>
      </c>
      <c r="D108" s="233">
        <f t="shared" si="27"/>
        <v>0</v>
      </c>
      <c r="E108" s="233">
        <f t="shared" si="27"/>
        <v>0</v>
      </c>
      <c r="F108" s="233">
        <f t="shared" si="27"/>
        <v>0</v>
      </c>
      <c r="G108" s="233">
        <f t="shared" si="27"/>
        <v>0</v>
      </c>
      <c r="H108" s="233">
        <f t="shared" si="27"/>
        <v>0</v>
      </c>
    </row>
    <row r="109" spans="1:20" x14ac:dyDescent="0.25">
      <c r="A109" t="s">
        <v>191</v>
      </c>
      <c r="D109" s="233">
        <f>-D91</f>
        <v>0</v>
      </c>
      <c r="E109" s="233">
        <f t="shared" ref="E109:H109" si="28">-E91</f>
        <v>0</v>
      </c>
      <c r="F109" s="233">
        <f t="shared" si="28"/>
        <v>0</v>
      </c>
      <c r="G109" s="233">
        <f t="shared" si="28"/>
        <v>0</v>
      </c>
      <c r="H109" s="233">
        <f t="shared" si="28"/>
        <v>0</v>
      </c>
      <c r="T109" s="14"/>
    </row>
    <row r="110" spans="1:20" s="14" customFormat="1" x14ac:dyDescent="0.25">
      <c r="A110" s="36" t="s">
        <v>192</v>
      </c>
      <c r="B110" s="36"/>
      <c r="C110" s="36"/>
      <c r="D110" s="237">
        <f>SUM(D95:D109)</f>
        <v>65074.704528600036</v>
      </c>
      <c r="E110" s="237">
        <f t="shared" ref="E110" si="29">SUM(E95:E109)</f>
        <v>78972.523840335838</v>
      </c>
      <c r="F110" s="237">
        <f t="shared" ref="F110" si="30">SUM(F95:F109)</f>
        <v>82724.721642786884</v>
      </c>
      <c r="G110" s="237">
        <f t="shared" ref="G110" si="31">SUM(G95:G109)</f>
        <v>80861.721034343645</v>
      </c>
      <c r="H110" s="237">
        <f t="shared" ref="H110" si="32">SUM(H95:H109)</f>
        <v>56152.297566478876</v>
      </c>
      <c r="I110"/>
      <c r="J110"/>
      <c r="K110"/>
      <c r="L110"/>
      <c r="M110"/>
      <c r="N110"/>
      <c r="O110"/>
      <c r="P110"/>
      <c r="Q110"/>
      <c r="R110"/>
      <c r="S110"/>
    </row>
    <row r="111" spans="1:20" s="14" customFormat="1" x14ac:dyDescent="0.25">
      <c r="A111"/>
      <c r="B111"/>
      <c r="C111"/>
      <c r="D111" s="12"/>
      <c r="E111" s="12"/>
      <c r="F111" s="12"/>
      <c r="G111" s="12"/>
      <c r="H111" s="12"/>
      <c r="I111"/>
      <c r="J111"/>
      <c r="T111"/>
    </row>
    <row r="112" spans="1:20" x14ac:dyDescent="0.25">
      <c r="K112" s="14"/>
      <c r="L112" s="14"/>
      <c r="M112" s="14"/>
      <c r="N112" s="14"/>
      <c r="O112" s="14"/>
      <c r="P112" s="14"/>
      <c r="Q112" s="14"/>
      <c r="R112" s="14"/>
      <c r="S112" s="14"/>
    </row>
    <row r="113" spans="10:10" x14ac:dyDescent="0.25">
      <c r="J113" s="14"/>
    </row>
    <row r="114" spans="10:10" x14ac:dyDescent="0.25">
      <c r="J114" s="14"/>
    </row>
    <row r="115" spans="10:10" x14ac:dyDescent="0.25">
      <c r="J115" s="14"/>
    </row>
    <row r="116" spans="10:10" x14ac:dyDescent="0.25">
      <c r="J116" s="41"/>
    </row>
    <row r="119" spans="10:10" x14ac:dyDescent="0.25">
      <c r="J119" s="14"/>
    </row>
    <row r="120" spans="10:10" x14ac:dyDescent="0.25">
      <c r="J120" s="14"/>
    </row>
    <row r="121" spans="10:10" x14ac:dyDescent="0.25">
      <c r="J121" s="14"/>
    </row>
    <row r="122" spans="10:10" x14ac:dyDescent="0.25">
      <c r="J122" s="14"/>
    </row>
    <row r="123" spans="10:10" x14ac:dyDescent="0.25">
      <c r="J123" s="41"/>
    </row>
    <row r="125" spans="10:10" x14ac:dyDescent="0.25">
      <c r="J125" s="14"/>
    </row>
    <row r="126" spans="10:10" x14ac:dyDescent="0.25">
      <c r="J126" s="14"/>
    </row>
    <row r="127" spans="10:10" x14ac:dyDescent="0.25">
      <c r="J127" s="14"/>
    </row>
    <row r="128" spans="10:10" x14ac:dyDescent="0.25">
      <c r="J128" s="14"/>
    </row>
    <row r="129" spans="10:10" x14ac:dyDescent="0.25">
      <c r="J129" s="14"/>
    </row>
    <row r="130" spans="10:10" x14ac:dyDescent="0.25">
      <c r="J130" s="14"/>
    </row>
    <row r="131" spans="10:10" x14ac:dyDescent="0.25">
      <c r="J131" s="14"/>
    </row>
    <row r="134" spans="10:10" x14ac:dyDescent="0.25">
      <c r="J134" s="14"/>
    </row>
    <row r="135" spans="10:10" x14ac:dyDescent="0.25">
      <c r="J135" s="14"/>
    </row>
    <row r="136" spans="10:10" x14ac:dyDescent="0.25">
      <c r="J136" s="14"/>
    </row>
    <row r="137" spans="10:10" x14ac:dyDescent="0.25">
      <c r="J137" s="14"/>
    </row>
  </sheetData>
  <sheetProtection algorithmName="SHA-512" hashValue="81b3U1FvIBeR4L8YTznVUT0PqaWNT2rBLYrJaOERHDSmuOi9U8e+l0XxGnZkVZm9bdiLlfnE9KN0B+EE4Vt9AA==" saltValue="d/hXWiDr6kw/gEzNfyHsQ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READ ME</vt:lpstr>
      <vt:lpstr>Presentation</vt:lpstr>
      <vt:lpstr>Comparables</vt:lpstr>
      <vt:lpstr>P&amp;L</vt:lpstr>
      <vt:lpstr>BalSheet</vt:lpstr>
      <vt:lpstr>CashFlow</vt:lpstr>
      <vt:lpstr>Ratios</vt:lpstr>
      <vt:lpstr>Debt</vt:lpstr>
      <vt:lpstr>Biz1drivers</vt:lpstr>
      <vt:lpstr>Biz1pl</vt:lpstr>
      <vt:lpstr>Biz1bs</vt:lpstr>
      <vt:lpstr>Biz1cf</vt:lpstr>
      <vt:lpstr>Biz2drivers</vt:lpstr>
      <vt:lpstr>Biz2pl</vt:lpstr>
      <vt:lpstr>Biz2bs</vt:lpstr>
      <vt:lpstr>Biz2cf</vt:lpstr>
      <vt:lpstr>CORPpl</vt:lpstr>
      <vt:lpstr>CORPbs</vt:lpstr>
      <vt:lpstr>CORPcf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Beber</dc:creator>
  <cp:lastModifiedBy>Scott Beber</cp:lastModifiedBy>
  <cp:lastPrinted>2013-10-10T20:32:56Z</cp:lastPrinted>
  <dcterms:created xsi:type="dcterms:W3CDTF">2012-04-13T23:06:43Z</dcterms:created>
  <dcterms:modified xsi:type="dcterms:W3CDTF">2018-10-23T21:06:15Z</dcterms:modified>
</cp:coreProperties>
</file>