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0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3.xml" ContentType="application/vnd.openxmlformats-officedocument.drawing+xml"/>
  <Override PartName="/xl/charts/chart11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2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3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4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4.xml" ContentType="application/vnd.openxmlformats-officedocument.drawing+xml"/>
  <Override PartName="/xl/charts/chart15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5.xml" ContentType="application/vnd.openxmlformats-officedocument.drawing+xml"/>
  <Override PartName="/xl/charts/chart16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esleycoppens/Downloads/Divestment site/Fact Book/"/>
    </mc:Choice>
  </mc:AlternateContent>
  <xr:revisionPtr revIDLastSave="0" documentId="13_ncr:1_{22228E7D-F461-F74F-8B22-F2F52CCA3E3B}" xr6:coauthVersionLast="36" xr6:coauthVersionMax="36" xr10:uidLastSave="{00000000-0000-0000-0000-000000000000}"/>
  <bookViews>
    <workbookView xWindow="0" yWindow="460" windowWidth="25440" windowHeight="14500" xr2:uid="{2EFD6F8F-1998-5448-A17B-26CA1EB1FBC2}"/>
  </bookViews>
  <sheets>
    <sheet name="Cover" sheetId="1" r:id="rId1"/>
    <sheet name="Contents" sheetId="2" r:id="rId2"/>
    <sheet name="Lead" sheetId="3" r:id="rId3"/>
    <sheet name="Lead-PL" sheetId="4" r:id="rId4"/>
    <sheet name="Lead-BS" sheetId="5" r:id="rId5"/>
    <sheet name="Lead-CF" sheetId="6" r:id="rId6"/>
    <sheet name="VD" sheetId="7" r:id="rId7"/>
    <sheet name="EVtoEQ" sheetId="34" r:id="rId8"/>
    <sheet name="AE" sheetId="8" r:id="rId9"/>
    <sheet name="ND" sheetId="9" r:id="rId10"/>
    <sheet name="NWC" sheetId="10" r:id="rId11"/>
    <sheet name="PL" sheetId="16" r:id="rId12"/>
    <sheet name="PL1" sheetId="17" r:id="rId13"/>
    <sheet name="PL2" sheetId="18" r:id="rId14"/>
    <sheet name="PL3" sheetId="19" r:id="rId15"/>
    <sheet name="PL4" sheetId="20" r:id="rId16"/>
    <sheet name="PL5" sheetId="33" r:id="rId17"/>
    <sheet name="BS" sheetId="11" r:id="rId18"/>
    <sheet name="BS1" sheetId="12" r:id="rId19"/>
    <sheet name="BS2" sheetId="13" r:id="rId20"/>
    <sheet name="BS3" sheetId="14" r:id="rId21"/>
    <sheet name="BS4" sheetId="15" r:id="rId22"/>
    <sheet name="BS5" sheetId="32" r:id="rId23"/>
    <sheet name="CF" sheetId="22" r:id="rId24"/>
    <sheet name="CF1" sheetId="23" r:id="rId25"/>
    <sheet name="CF2" sheetId="24" r:id="rId26"/>
    <sheet name="CF3" sheetId="25" r:id="rId27"/>
    <sheet name="FC" sheetId="26" r:id="rId28"/>
    <sheet name="FC1" sheetId="27" r:id="rId29"/>
    <sheet name="FC2" sheetId="28" r:id="rId30"/>
    <sheet name="FC3" sheetId="29" r:id="rId31"/>
    <sheet name="FC4" sheetId="31" r:id="rId32"/>
  </sheets>
  <definedNames>
    <definedName name="_xlchart.v1.0" hidden="1">(EVtoEQ!$A$6:$A$7,EVtoEQ!$A$11,EVtoEQ!$A$13)</definedName>
    <definedName name="_xlchart.v1.1" hidden="1">(EVtoEQ!$D$6:$D$7,EVtoEQ!$D$11,EVtoEQ!$D$13)</definedName>
    <definedName name="_xlnm.Print_Area" localSheetId="8">AE!$A$1:$K$31</definedName>
    <definedName name="_xlnm.Print_Area" localSheetId="17">BS!$A$1:$C$8</definedName>
    <definedName name="_xlnm.Print_Area" localSheetId="19">'BS2'!$A$1:$I$29</definedName>
    <definedName name="_xlnm.Print_Area" localSheetId="20">'BS3'!$A$1:$I$30</definedName>
    <definedName name="_xlnm.Print_Area" localSheetId="21">'BS4'!$A$1:$I$30</definedName>
    <definedName name="_xlnm.Print_Area" localSheetId="22">'BS5'!$A$1:$A$20</definedName>
    <definedName name="_xlnm.Print_Area" localSheetId="24">'CF1'!$A$1:$K$19</definedName>
    <definedName name="_xlnm.Print_Area" localSheetId="25">'CF2'!$A$1:$AM$82</definedName>
    <definedName name="_xlnm.Print_Area" localSheetId="26">'CF3'!$A$1:$L$75</definedName>
    <definedName name="_xlnm.Print_Area" localSheetId="1">Contents!$A$1:$D$34</definedName>
    <definedName name="_xlnm.Print_Area" localSheetId="0">Cover!$A$1:$J$26</definedName>
    <definedName name="_xlnm.Print_Area" localSheetId="7">EVtoEQ!$A$1:$H$31</definedName>
    <definedName name="_xlnm.Print_Area" localSheetId="27">FC!$A$1:$C$8</definedName>
    <definedName name="_xlnm.Print_Area" localSheetId="28">'FC1'!$A$1:$R$33</definedName>
    <definedName name="_xlnm.Print_Area" localSheetId="29">'FC2'!$A$1:$K$54</definedName>
    <definedName name="_xlnm.Print_Area" localSheetId="30">'FC3'!$A$1:$K$29</definedName>
    <definedName name="_xlnm.Print_Area" localSheetId="31">'FC4'!$A$1:$G$27</definedName>
    <definedName name="_xlnm.Print_Area" localSheetId="3">'Lead-PL'!$A$1:$N$29</definedName>
    <definedName name="_xlnm.Print_Area" localSheetId="12">'PL1'!$A$1:$M$17</definedName>
    <definedName name="_xlnm.Print_Area" localSheetId="13">'PL2'!$A$1:$P$40</definedName>
    <definedName name="_xlnm.Print_Area" localSheetId="15">'PL4'!$A$1:$E$26</definedName>
    <definedName name="_xlnm.Print_Area" localSheetId="16">'PL5'!$A$1:$A$14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8" i="2" l="1"/>
  <c r="A5" i="7"/>
  <c r="D7" i="34"/>
  <c r="C10" i="34"/>
  <c r="D11" i="34" s="1"/>
  <c r="C9" i="34"/>
  <c r="D13" i="34"/>
  <c r="D17" i="34"/>
  <c r="C17" i="34"/>
  <c r="A2" i="34"/>
  <c r="A14" i="34" s="1"/>
  <c r="B17" i="2"/>
  <c r="A9" i="16"/>
  <c r="A2" i="33"/>
  <c r="A13" i="33" s="1"/>
  <c r="B23" i="2"/>
  <c r="A9" i="11"/>
  <c r="A2" i="32"/>
  <c r="A19" i="32" s="1"/>
  <c r="A8" i="26"/>
  <c r="A7" i="26"/>
  <c r="A6" i="26"/>
  <c r="A5" i="26"/>
  <c r="B32" i="2"/>
  <c r="A49" i="24" l="1"/>
  <c r="A74" i="25"/>
  <c r="A56" i="25"/>
  <c r="A38" i="25"/>
  <c r="A20" i="25"/>
  <c r="E72" i="25"/>
  <c r="D72" i="25"/>
  <c r="C72" i="25"/>
  <c r="E71" i="25"/>
  <c r="D71" i="25"/>
  <c r="C71" i="25"/>
  <c r="E70" i="25"/>
  <c r="D70" i="25"/>
  <c r="C70" i="25"/>
  <c r="E69" i="25"/>
  <c r="D69" i="25"/>
  <c r="C69" i="25"/>
  <c r="E68" i="25"/>
  <c r="D68" i="25"/>
  <c r="C68" i="25"/>
  <c r="E67" i="25"/>
  <c r="D67" i="25"/>
  <c r="C67" i="25"/>
  <c r="E66" i="25"/>
  <c r="D66" i="25"/>
  <c r="C66" i="25"/>
  <c r="E65" i="25"/>
  <c r="D65" i="25"/>
  <c r="C65" i="25"/>
  <c r="E64" i="25"/>
  <c r="D64" i="25"/>
  <c r="C64" i="25"/>
  <c r="E63" i="25"/>
  <c r="D63" i="25"/>
  <c r="C63" i="25"/>
  <c r="E62" i="25"/>
  <c r="E73" i="25" s="1"/>
  <c r="D62" i="25"/>
  <c r="D73" i="25" s="1"/>
  <c r="C62" i="25"/>
  <c r="E61" i="25"/>
  <c r="D61" i="25"/>
  <c r="C61" i="25"/>
  <c r="C73" i="25"/>
  <c r="E55" i="25"/>
  <c r="D55" i="25"/>
  <c r="C55" i="25"/>
  <c r="E37" i="25"/>
  <c r="D37" i="25"/>
  <c r="C37" i="25"/>
  <c r="E19" i="25"/>
  <c r="D19" i="25"/>
  <c r="C19" i="25"/>
  <c r="AL47" i="24"/>
  <c r="AK47" i="24"/>
  <c r="AJ47" i="24"/>
  <c r="AI47" i="24"/>
  <c r="AH47" i="24"/>
  <c r="AG47" i="24"/>
  <c r="AF47" i="24"/>
  <c r="AE47" i="24"/>
  <c r="AD47" i="24"/>
  <c r="AC47" i="24"/>
  <c r="AB47" i="24"/>
  <c r="AA47" i="24"/>
  <c r="Z47" i="24"/>
  <c r="Y47" i="24"/>
  <c r="X47" i="24"/>
  <c r="W47" i="24"/>
  <c r="W48" i="24" s="1"/>
  <c r="V47" i="24"/>
  <c r="U47" i="24"/>
  <c r="T47" i="24"/>
  <c r="S47" i="24"/>
  <c r="R47" i="24"/>
  <c r="Q47" i="24"/>
  <c r="P47" i="24"/>
  <c r="O47" i="24"/>
  <c r="N47" i="24"/>
  <c r="M47" i="24"/>
  <c r="L47" i="24"/>
  <c r="K47" i="24"/>
  <c r="J47" i="24"/>
  <c r="I47" i="24"/>
  <c r="H47" i="24"/>
  <c r="G47" i="24"/>
  <c r="G48" i="24" s="1"/>
  <c r="F47" i="24"/>
  <c r="E47" i="24"/>
  <c r="D47" i="24"/>
  <c r="AL46" i="24"/>
  <c r="AK46" i="24"/>
  <c r="AJ46" i="24"/>
  <c r="AI46" i="24"/>
  <c r="AH46" i="24"/>
  <c r="AG46" i="24"/>
  <c r="AF46" i="24"/>
  <c r="AE46" i="24"/>
  <c r="AD46" i="24"/>
  <c r="AC46" i="24"/>
  <c r="AB46" i="24"/>
  <c r="AA46" i="24"/>
  <c r="AA48" i="24" s="1"/>
  <c r="Z46" i="24"/>
  <c r="Y46" i="24"/>
  <c r="X46" i="24"/>
  <c r="W46" i="24"/>
  <c r="V46" i="24"/>
  <c r="U46" i="24"/>
  <c r="T46" i="24"/>
  <c r="S46" i="24"/>
  <c r="R46" i="24"/>
  <c r="Q46" i="24"/>
  <c r="P46" i="24"/>
  <c r="O46" i="24"/>
  <c r="N46" i="24"/>
  <c r="M46" i="24"/>
  <c r="L46" i="24"/>
  <c r="K46" i="24"/>
  <c r="K48" i="24" s="1"/>
  <c r="J46" i="24"/>
  <c r="I46" i="24"/>
  <c r="H46" i="24"/>
  <c r="G46" i="24"/>
  <c r="F46" i="24"/>
  <c r="E46" i="24"/>
  <c r="D46" i="24"/>
  <c r="AL45" i="24"/>
  <c r="AK45" i="24"/>
  <c r="AK48" i="24" s="1"/>
  <c r="AJ45" i="24"/>
  <c r="AI45" i="24"/>
  <c r="AI48" i="24" s="1"/>
  <c r="AH45" i="24"/>
  <c r="AG45" i="24"/>
  <c r="AG48" i="24" s="1"/>
  <c r="AF45" i="24"/>
  <c r="AE45" i="24"/>
  <c r="AE48" i="24" s="1"/>
  <c r="AD45" i="24"/>
  <c r="AC45" i="24"/>
  <c r="AC48" i="24" s="1"/>
  <c r="AB45" i="24"/>
  <c r="AA45" i="24"/>
  <c r="Z45" i="24"/>
  <c r="Y45" i="24"/>
  <c r="Y48" i="24" s="1"/>
  <c r="X45" i="24"/>
  <c r="W45" i="24"/>
  <c r="V45" i="24"/>
  <c r="U45" i="24"/>
  <c r="U48" i="24" s="1"/>
  <c r="T45" i="24"/>
  <c r="S45" i="24"/>
  <c r="S48" i="24" s="1"/>
  <c r="R45" i="24"/>
  <c r="Q45" i="24"/>
  <c r="Q48" i="24" s="1"/>
  <c r="P45" i="24"/>
  <c r="O45" i="24"/>
  <c r="O48" i="24" s="1"/>
  <c r="N45" i="24"/>
  <c r="M45" i="24"/>
  <c r="M48" i="24" s="1"/>
  <c r="L45" i="24"/>
  <c r="K45" i="24"/>
  <c r="J45" i="24"/>
  <c r="I45" i="24"/>
  <c r="I48" i="24" s="1"/>
  <c r="H45" i="24"/>
  <c r="G45" i="24"/>
  <c r="F45" i="24"/>
  <c r="E45" i="24"/>
  <c r="E48" i="24" s="1"/>
  <c r="D45" i="24"/>
  <c r="C45" i="24"/>
  <c r="C47" i="24"/>
  <c r="C46" i="24"/>
  <c r="F48" i="24" l="1"/>
  <c r="J48" i="24"/>
  <c r="N48" i="24"/>
  <c r="R48" i="24"/>
  <c r="V48" i="24"/>
  <c r="Z48" i="24"/>
  <c r="AD48" i="24"/>
  <c r="AH48" i="24"/>
  <c r="AL48" i="24"/>
  <c r="D48" i="24"/>
  <c r="H48" i="24"/>
  <c r="L48" i="24"/>
  <c r="P48" i="24"/>
  <c r="T48" i="24"/>
  <c r="X48" i="24"/>
  <c r="AB48" i="24"/>
  <c r="AF48" i="24"/>
  <c r="AJ48" i="24"/>
  <c r="C48" i="24"/>
  <c r="K24" i="28" l="1"/>
  <c r="J24" i="28"/>
  <c r="I24" i="28"/>
  <c r="H24" i="28"/>
  <c r="G24" i="28"/>
  <c r="F24" i="28"/>
  <c r="E24" i="28"/>
  <c r="D24" i="28"/>
  <c r="K23" i="28"/>
  <c r="J23" i="28"/>
  <c r="I23" i="28"/>
  <c r="H23" i="28"/>
  <c r="G23" i="28"/>
  <c r="F23" i="28"/>
  <c r="E23" i="28"/>
  <c r="D23" i="28"/>
  <c r="K22" i="28"/>
  <c r="J22" i="28"/>
  <c r="I22" i="28"/>
  <c r="H22" i="28"/>
  <c r="G22" i="28"/>
  <c r="F22" i="28"/>
  <c r="E22" i="28"/>
  <c r="D22" i="28"/>
  <c r="K21" i="28"/>
  <c r="K25" i="28" s="1"/>
  <c r="J21" i="28"/>
  <c r="J25" i="28" s="1"/>
  <c r="I21" i="28"/>
  <c r="H21" i="28"/>
  <c r="H25" i="28" s="1"/>
  <c r="G21" i="28"/>
  <c r="G25" i="28" s="1"/>
  <c r="F21" i="28"/>
  <c r="F25" i="28" s="1"/>
  <c r="E21" i="28"/>
  <c r="D21" i="28"/>
  <c r="D25" i="28" s="1"/>
  <c r="K18" i="28"/>
  <c r="J18" i="28"/>
  <c r="I18" i="28"/>
  <c r="H18" i="28"/>
  <c r="G18" i="28"/>
  <c r="F18" i="28"/>
  <c r="E18" i="28"/>
  <c r="D18" i="28"/>
  <c r="K17" i="28"/>
  <c r="J17" i="28"/>
  <c r="I17" i="28"/>
  <c r="H17" i="28"/>
  <c r="G17" i="28"/>
  <c r="F17" i="28"/>
  <c r="E17" i="28"/>
  <c r="D17" i="28"/>
  <c r="K16" i="28"/>
  <c r="J16" i="28"/>
  <c r="I16" i="28"/>
  <c r="H16" i="28"/>
  <c r="G16" i="28"/>
  <c r="F16" i="28"/>
  <c r="E16" i="28"/>
  <c r="D16" i="28"/>
  <c r="K15" i="28"/>
  <c r="J15" i="28"/>
  <c r="I15" i="28"/>
  <c r="H15" i="28"/>
  <c r="G15" i="28"/>
  <c r="F15" i="28"/>
  <c r="E15" i="28"/>
  <c r="D15" i="28"/>
  <c r="K14" i="28"/>
  <c r="J14" i="28"/>
  <c r="I14" i="28"/>
  <c r="H14" i="28"/>
  <c r="G14" i="28"/>
  <c r="F14" i="28"/>
  <c r="E14" i="28"/>
  <c r="D14" i="28"/>
  <c r="K12" i="28"/>
  <c r="J12" i="28"/>
  <c r="I12" i="28"/>
  <c r="H12" i="28"/>
  <c r="G12" i="28"/>
  <c r="F12" i="28"/>
  <c r="E12" i="28"/>
  <c r="D12" i="28"/>
  <c r="K11" i="28"/>
  <c r="J11" i="28"/>
  <c r="I11" i="28"/>
  <c r="H11" i="28"/>
  <c r="G11" i="28"/>
  <c r="F11" i="28"/>
  <c r="E11" i="28"/>
  <c r="D11" i="28"/>
  <c r="K10" i="28"/>
  <c r="K13" i="28" s="1"/>
  <c r="J10" i="28"/>
  <c r="J13" i="28" s="1"/>
  <c r="J19" i="28" s="1"/>
  <c r="I10" i="28"/>
  <c r="I13" i="28" s="1"/>
  <c r="I19" i="28" s="1"/>
  <c r="H10" i="28"/>
  <c r="G10" i="28"/>
  <c r="G13" i="28" s="1"/>
  <c r="G19" i="28" s="1"/>
  <c r="F10" i="28"/>
  <c r="F13" i="28" s="1"/>
  <c r="E10" i="28"/>
  <c r="E13" i="28" s="1"/>
  <c r="E19" i="28" s="1"/>
  <c r="D10" i="28"/>
  <c r="D13" i="28" s="1"/>
  <c r="D19" i="28" s="1"/>
  <c r="K8" i="28"/>
  <c r="J8" i="28"/>
  <c r="I8" i="28"/>
  <c r="H8" i="28"/>
  <c r="G8" i="28"/>
  <c r="F8" i="28"/>
  <c r="E8" i="28"/>
  <c r="D8" i="28"/>
  <c r="K7" i="28"/>
  <c r="J7" i="28"/>
  <c r="I7" i="28"/>
  <c r="H7" i="28"/>
  <c r="G7" i="28"/>
  <c r="F7" i="28"/>
  <c r="E7" i="28"/>
  <c r="D7" i="28"/>
  <c r="K6" i="28"/>
  <c r="K9" i="28" s="1"/>
  <c r="J6" i="28"/>
  <c r="J9" i="28" s="1"/>
  <c r="I6" i="28"/>
  <c r="I9" i="28" s="1"/>
  <c r="H6" i="28"/>
  <c r="G6" i="28"/>
  <c r="F6" i="28"/>
  <c r="F9" i="28" s="1"/>
  <c r="E6" i="28"/>
  <c r="E9" i="28" s="1"/>
  <c r="E20" i="28" s="1"/>
  <c r="D6" i="28"/>
  <c r="D9" i="28" s="1"/>
  <c r="C14" i="28"/>
  <c r="C24" i="28"/>
  <c r="C23" i="28"/>
  <c r="C22" i="28"/>
  <c r="C21" i="28"/>
  <c r="C18" i="28"/>
  <c r="C17" i="28"/>
  <c r="C16" i="28"/>
  <c r="C15" i="28"/>
  <c r="C12" i="28"/>
  <c r="C11" i="28"/>
  <c r="C10" i="28"/>
  <c r="C13" i="28" s="1"/>
  <c r="C19" i="28" s="1"/>
  <c r="C8" i="28"/>
  <c r="C7" i="28"/>
  <c r="C6" i="28"/>
  <c r="A53" i="28"/>
  <c r="A26" i="28"/>
  <c r="K10" i="29"/>
  <c r="J10" i="29"/>
  <c r="I10" i="29"/>
  <c r="I11" i="29" s="1"/>
  <c r="H10" i="29"/>
  <c r="H11" i="29" s="1"/>
  <c r="G10" i="29"/>
  <c r="G11" i="29" s="1"/>
  <c r="F10" i="29"/>
  <c r="F11" i="29" s="1"/>
  <c r="E10" i="29"/>
  <c r="E11" i="29" s="1"/>
  <c r="D10" i="29"/>
  <c r="D11" i="29" s="1"/>
  <c r="K6" i="29"/>
  <c r="J6" i="29"/>
  <c r="I6" i="29"/>
  <c r="H6" i="29"/>
  <c r="G6" i="29"/>
  <c r="F6" i="29"/>
  <c r="E6" i="29"/>
  <c r="D6" i="29"/>
  <c r="C6" i="29"/>
  <c r="A32" i="27"/>
  <c r="F9" i="27"/>
  <c r="G14" i="27"/>
  <c r="G27" i="27" s="1"/>
  <c r="H8" i="27"/>
  <c r="F8" i="27"/>
  <c r="F26" i="27" s="1"/>
  <c r="E28" i="27"/>
  <c r="D28" i="27"/>
  <c r="E27" i="27"/>
  <c r="D27" i="27"/>
  <c r="E26" i="27"/>
  <c r="D26" i="27"/>
  <c r="C28" i="27"/>
  <c r="C27" i="27"/>
  <c r="C26" i="27"/>
  <c r="F24" i="27"/>
  <c r="K51" i="28"/>
  <c r="J51" i="28"/>
  <c r="I51" i="28"/>
  <c r="I52" i="28" s="1"/>
  <c r="H51" i="28"/>
  <c r="G51" i="28"/>
  <c r="F51" i="28"/>
  <c r="K45" i="28"/>
  <c r="J45" i="28"/>
  <c r="I45" i="28"/>
  <c r="H45" i="28"/>
  <c r="G45" i="28"/>
  <c r="F45" i="28"/>
  <c r="K40" i="28"/>
  <c r="J40" i="28"/>
  <c r="I40" i="28"/>
  <c r="H40" i="28"/>
  <c r="G40" i="28"/>
  <c r="F40" i="28"/>
  <c r="K35" i="28"/>
  <c r="J35" i="28"/>
  <c r="I35" i="28"/>
  <c r="H35" i="28"/>
  <c r="G35" i="28"/>
  <c r="F35" i="28"/>
  <c r="E51" i="28"/>
  <c r="D51" i="28"/>
  <c r="C51" i="28"/>
  <c r="E45" i="28"/>
  <c r="D45" i="28"/>
  <c r="C45" i="28"/>
  <c r="E40" i="28"/>
  <c r="D40" i="28"/>
  <c r="C40" i="28"/>
  <c r="E35" i="28"/>
  <c r="D35" i="28"/>
  <c r="C35" i="28"/>
  <c r="K11" i="29"/>
  <c r="J11" i="29"/>
  <c r="C10" i="29"/>
  <c r="C11" i="29" s="1"/>
  <c r="C25" i="28"/>
  <c r="C9" i="28"/>
  <c r="K30" i="27"/>
  <c r="J30" i="27"/>
  <c r="I30" i="27"/>
  <c r="H30" i="27"/>
  <c r="G30" i="27"/>
  <c r="F30" i="27"/>
  <c r="H24" i="27"/>
  <c r="G24" i="27"/>
  <c r="H14" i="27"/>
  <c r="H27" i="27" s="1"/>
  <c r="F14" i="27"/>
  <c r="F27" i="27" s="1"/>
  <c r="G8" i="27"/>
  <c r="G26" i="27" s="1"/>
  <c r="E30" i="27"/>
  <c r="D30" i="27"/>
  <c r="C30" i="27"/>
  <c r="E24" i="27"/>
  <c r="D24" i="27"/>
  <c r="E14" i="27"/>
  <c r="D14" i="27"/>
  <c r="C14" i="27"/>
  <c r="E8" i="27"/>
  <c r="E15" i="27" s="1"/>
  <c r="D8" i="27"/>
  <c r="D15" i="27" s="1"/>
  <c r="C8" i="27"/>
  <c r="D52" i="28" l="1"/>
  <c r="C52" i="28"/>
  <c r="E52" i="28"/>
  <c r="I25" i="28"/>
  <c r="E25" i="28"/>
  <c r="D20" i="28"/>
  <c r="C41" i="28"/>
  <c r="D41" i="28"/>
  <c r="G41" i="28"/>
  <c r="E41" i="28"/>
  <c r="J20" i="28"/>
  <c r="H41" i="28"/>
  <c r="I20" i="28"/>
  <c r="H13" i="28"/>
  <c r="H19" i="28" s="1"/>
  <c r="F52" i="28"/>
  <c r="J52" i="28"/>
  <c r="K52" i="28"/>
  <c r="G52" i="28"/>
  <c r="H52" i="28"/>
  <c r="F19" i="28"/>
  <c r="F20" i="28" s="1"/>
  <c r="K19" i="28"/>
  <c r="K20" i="28" s="1"/>
  <c r="I41" i="28"/>
  <c r="K41" i="28"/>
  <c r="J41" i="28"/>
  <c r="H9" i="28"/>
  <c r="G9" i="28"/>
  <c r="G20" i="28" s="1"/>
  <c r="F41" i="28"/>
  <c r="C20" i="28"/>
  <c r="I14" i="27"/>
  <c r="I27" i="27" s="1"/>
  <c r="G15" i="27"/>
  <c r="G17" i="27" s="1"/>
  <c r="G20" i="27" s="1"/>
  <c r="G31" i="27" s="1"/>
  <c r="H15" i="27"/>
  <c r="H26" i="27"/>
  <c r="G28" i="27"/>
  <c r="F15" i="27"/>
  <c r="I24" i="27"/>
  <c r="I8" i="27"/>
  <c r="D17" i="27"/>
  <c r="C15" i="27"/>
  <c r="E17" i="27"/>
  <c r="AL33" i="24"/>
  <c r="AK33" i="24"/>
  <c r="AJ33" i="24"/>
  <c r="AI33" i="24"/>
  <c r="AH33" i="24"/>
  <c r="AG33" i="24"/>
  <c r="AF33" i="24"/>
  <c r="AE33" i="24"/>
  <c r="AD33" i="24"/>
  <c r="AC33" i="24"/>
  <c r="AB33" i="24"/>
  <c r="AA33" i="24"/>
  <c r="Z33" i="24"/>
  <c r="Y33" i="24"/>
  <c r="X33" i="24"/>
  <c r="W33" i="24"/>
  <c r="V33" i="24"/>
  <c r="U33" i="24"/>
  <c r="T33" i="24"/>
  <c r="S33" i="24"/>
  <c r="R33" i="24"/>
  <c r="Q33" i="24"/>
  <c r="P33" i="24"/>
  <c r="O33" i="24"/>
  <c r="N33" i="24"/>
  <c r="M33" i="24"/>
  <c r="L33" i="24"/>
  <c r="K33" i="24"/>
  <c r="J33" i="24"/>
  <c r="I33" i="24"/>
  <c r="H33" i="24"/>
  <c r="G33" i="24"/>
  <c r="F33" i="24"/>
  <c r="E33" i="24"/>
  <c r="D33" i="24"/>
  <c r="AL32" i="24"/>
  <c r="AK32" i="24"/>
  <c r="AJ32" i="24"/>
  <c r="AI32" i="24"/>
  <c r="AH32" i="24"/>
  <c r="AG32" i="24"/>
  <c r="AF32" i="24"/>
  <c r="AE32" i="24"/>
  <c r="AD32" i="24"/>
  <c r="AC32" i="24"/>
  <c r="AB32" i="24"/>
  <c r="AA32" i="24"/>
  <c r="Z32" i="24"/>
  <c r="Y32" i="24"/>
  <c r="X32" i="24"/>
  <c r="W32" i="24"/>
  <c r="V32" i="24"/>
  <c r="U32" i="24"/>
  <c r="T32" i="24"/>
  <c r="S32" i="24"/>
  <c r="R32" i="24"/>
  <c r="Q32" i="24"/>
  <c r="P32" i="24"/>
  <c r="O32" i="24"/>
  <c r="N32" i="24"/>
  <c r="M32" i="24"/>
  <c r="L32" i="24"/>
  <c r="K32" i="24"/>
  <c r="J32" i="24"/>
  <c r="I32" i="24"/>
  <c r="H32" i="24"/>
  <c r="G32" i="24"/>
  <c r="F32" i="24"/>
  <c r="E32" i="24"/>
  <c r="D32" i="24"/>
  <c r="AL31" i="24"/>
  <c r="AK31" i="24"/>
  <c r="AJ31" i="24"/>
  <c r="AI31" i="24"/>
  <c r="AH31" i="24"/>
  <c r="AG31" i="24"/>
  <c r="AF31" i="24"/>
  <c r="AE31" i="24"/>
  <c r="AD31" i="24"/>
  <c r="AC31" i="24"/>
  <c r="AB31" i="24"/>
  <c r="AA31" i="24"/>
  <c r="Z31" i="24"/>
  <c r="Y31" i="24"/>
  <c r="X31" i="24"/>
  <c r="W31" i="24"/>
  <c r="V31" i="24"/>
  <c r="U31" i="24"/>
  <c r="T31" i="24"/>
  <c r="S31" i="24"/>
  <c r="R31" i="24"/>
  <c r="Q31" i="24"/>
  <c r="P31" i="24"/>
  <c r="O31" i="24"/>
  <c r="N31" i="24"/>
  <c r="M31" i="24"/>
  <c r="L31" i="24"/>
  <c r="K31" i="24"/>
  <c r="J31" i="24"/>
  <c r="I31" i="24"/>
  <c r="H31" i="24"/>
  <c r="G31" i="24"/>
  <c r="F31" i="24"/>
  <c r="E31" i="24"/>
  <c r="D31" i="24"/>
  <c r="AL30" i="24"/>
  <c r="AK30" i="24"/>
  <c r="AJ30" i="24"/>
  <c r="AI30" i="24"/>
  <c r="AH30" i="24"/>
  <c r="AG30" i="24"/>
  <c r="AF30" i="24"/>
  <c r="AE30" i="24"/>
  <c r="AD30" i="24"/>
  <c r="AC30" i="24"/>
  <c r="AB30" i="24"/>
  <c r="AA30" i="24"/>
  <c r="Z30" i="24"/>
  <c r="Y30" i="24"/>
  <c r="X30" i="24"/>
  <c r="W30" i="24"/>
  <c r="V30" i="24"/>
  <c r="U30" i="24"/>
  <c r="T30" i="24"/>
  <c r="S30" i="24"/>
  <c r="R30" i="24"/>
  <c r="Q30" i="24"/>
  <c r="P30" i="24"/>
  <c r="O30" i="24"/>
  <c r="N30" i="24"/>
  <c r="M30" i="24"/>
  <c r="L30" i="24"/>
  <c r="K30" i="24"/>
  <c r="J30" i="24"/>
  <c r="I30" i="24"/>
  <c r="H30" i="24"/>
  <c r="G30" i="24"/>
  <c r="F30" i="24"/>
  <c r="E30" i="24"/>
  <c r="D30" i="24"/>
  <c r="AL28" i="24"/>
  <c r="AK28" i="24"/>
  <c r="AJ28" i="24"/>
  <c r="AI28" i="24"/>
  <c r="AH28" i="24"/>
  <c r="AH29" i="24" s="1"/>
  <c r="AG28" i="24"/>
  <c r="AF28" i="24"/>
  <c r="AE28" i="24"/>
  <c r="AD28" i="24"/>
  <c r="AC28" i="24"/>
  <c r="AB28" i="24"/>
  <c r="AA28" i="24"/>
  <c r="Z28" i="24"/>
  <c r="Y28" i="24"/>
  <c r="X28" i="24"/>
  <c r="W28" i="24"/>
  <c r="V28" i="24"/>
  <c r="U28" i="24"/>
  <c r="T28" i="24"/>
  <c r="S28" i="24"/>
  <c r="R28" i="24"/>
  <c r="R29" i="24" s="1"/>
  <c r="Q28" i="24"/>
  <c r="P28" i="24"/>
  <c r="O28" i="24"/>
  <c r="N28" i="24"/>
  <c r="M28" i="24"/>
  <c r="L28" i="24"/>
  <c r="K28" i="24"/>
  <c r="J28" i="24"/>
  <c r="I28" i="24"/>
  <c r="H28" i="24"/>
  <c r="G28" i="24"/>
  <c r="F28" i="24"/>
  <c r="E28" i="24"/>
  <c r="D28" i="24"/>
  <c r="AL27" i="24"/>
  <c r="AK27" i="24"/>
  <c r="AJ27" i="24"/>
  <c r="AI27" i="24"/>
  <c r="AH27" i="24"/>
  <c r="AG27" i="24"/>
  <c r="AF27" i="24"/>
  <c r="AE27" i="24"/>
  <c r="AD27" i="24"/>
  <c r="AC27" i="24"/>
  <c r="AB27" i="24"/>
  <c r="AA27" i="24"/>
  <c r="Z27" i="24"/>
  <c r="Y27" i="24"/>
  <c r="X27" i="24"/>
  <c r="W27" i="24"/>
  <c r="V27" i="24"/>
  <c r="U27" i="24"/>
  <c r="T27" i="24"/>
  <c r="S27" i="24"/>
  <c r="R27" i="24"/>
  <c r="Q27" i="24"/>
  <c r="P27" i="24"/>
  <c r="O27" i="24"/>
  <c r="N27" i="24"/>
  <c r="N29" i="24" s="1"/>
  <c r="N34" i="24" s="1"/>
  <c r="M27" i="24"/>
  <c r="L27" i="24"/>
  <c r="K27" i="24"/>
  <c r="J27" i="24"/>
  <c r="I27" i="24"/>
  <c r="H27" i="24"/>
  <c r="G27" i="24"/>
  <c r="F27" i="24"/>
  <c r="E27" i="24"/>
  <c r="D27" i="24"/>
  <c r="AL26" i="24"/>
  <c r="AK26" i="24"/>
  <c r="AJ26" i="24"/>
  <c r="AI26" i="24"/>
  <c r="AI29" i="24" s="1"/>
  <c r="AI34" i="24" s="1"/>
  <c r="AH26" i="24"/>
  <c r="AG26" i="24"/>
  <c r="AF26" i="24"/>
  <c r="AE26" i="24"/>
  <c r="AE29" i="24" s="1"/>
  <c r="AE34" i="24" s="1"/>
  <c r="AD26" i="24"/>
  <c r="AD29" i="24" s="1"/>
  <c r="AD34" i="24" s="1"/>
  <c r="AC26" i="24"/>
  <c r="AB26" i="24"/>
  <c r="AA26" i="24"/>
  <c r="AA29" i="24" s="1"/>
  <c r="AA34" i="24" s="1"/>
  <c r="Z26" i="24"/>
  <c r="Y26" i="24"/>
  <c r="X26" i="24"/>
  <c r="W26" i="24"/>
  <c r="W29" i="24" s="1"/>
  <c r="W34" i="24" s="1"/>
  <c r="V26" i="24"/>
  <c r="U26" i="24"/>
  <c r="T26" i="24"/>
  <c r="S26" i="24"/>
  <c r="S29" i="24" s="1"/>
  <c r="S34" i="24" s="1"/>
  <c r="R26" i="24"/>
  <c r="Q26" i="24"/>
  <c r="P26" i="24"/>
  <c r="O26" i="24"/>
  <c r="O29" i="24" s="1"/>
  <c r="O34" i="24" s="1"/>
  <c r="N26" i="24"/>
  <c r="M26" i="24"/>
  <c r="L26" i="24"/>
  <c r="K26" i="24"/>
  <c r="K29" i="24" s="1"/>
  <c r="K34" i="24" s="1"/>
  <c r="J26" i="24"/>
  <c r="I26" i="24"/>
  <c r="H26" i="24"/>
  <c r="G26" i="24"/>
  <c r="G29" i="24" s="1"/>
  <c r="G34" i="24" s="1"/>
  <c r="F26" i="24"/>
  <c r="E26" i="24"/>
  <c r="D26" i="24"/>
  <c r="C33" i="24"/>
  <c r="C32" i="24"/>
  <c r="C31" i="24"/>
  <c r="C30" i="24"/>
  <c r="C28" i="24"/>
  <c r="C27" i="24"/>
  <c r="C26" i="24"/>
  <c r="AL17" i="10"/>
  <c r="AK17" i="10"/>
  <c r="AJ17" i="10"/>
  <c r="AI17" i="10"/>
  <c r="AH17" i="10"/>
  <c r="AG17" i="10"/>
  <c r="AF17" i="10"/>
  <c r="AE17" i="10"/>
  <c r="AD17" i="10"/>
  <c r="AC17" i="10"/>
  <c r="AB17" i="10"/>
  <c r="AA17" i="10"/>
  <c r="Z17" i="10"/>
  <c r="Y17" i="10"/>
  <c r="X17" i="10"/>
  <c r="W17" i="10"/>
  <c r="V17" i="10"/>
  <c r="U17" i="10"/>
  <c r="T17" i="10"/>
  <c r="S17" i="10"/>
  <c r="R17" i="10"/>
  <c r="Q17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AL18" i="24"/>
  <c r="AK18" i="24"/>
  <c r="AJ18" i="24"/>
  <c r="AI18" i="24"/>
  <c r="AI22" i="24" s="1"/>
  <c r="AH18" i="24"/>
  <c r="AH22" i="24" s="1"/>
  <c r="AG18" i="24"/>
  <c r="AG22" i="24" s="1"/>
  <c r="AF18" i="24"/>
  <c r="AF22" i="24" s="1"/>
  <c r="AE18" i="24"/>
  <c r="AE22" i="24" s="1"/>
  <c r="AD18" i="24"/>
  <c r="AC18" i="24"/>
  <c r="AB18" i="24"/>
  <c r="AA18" i="24"/>
  <c r="AA22" i="24" s="1"/>
  <c r="Z18" i="24"/>
  <c r="Z22" i="24" s="1"/>
  <c r="Y18" i="24"/>
  <c r="Y22" i="24" s="1"/>
  <c r="X18" i="24"/>
  <c r="X22" i="24" s="1"/>
  <c r="W18" i="24"/>
  <c r="W22" i="24" s="1"/>
  <c r="V18" i="24"/>
  <c r="U18" i="24"/>
  <c r="T18" i="24"/>
  <c r="T22" i="24" s="1"/>
  <c r="S18" i="24"/>
  <c r="S22" i="24" s="1"/>
  <c r="R18" i="24"/>
  <c r="R22" i="24" s="1"/>
  <c r="Q18" i="24"/>
  <c r="Q22" i="24" s="1"/>
  <c r="P18" i="24"/>
  <c r="P22" i="24" s="1"/>
  <c r="O18" i="24"/>
  <c r="O22" i="24" s="1"/>
  <c r="N18" i="24"/>
  <c r="M18" i="24"/>
  <c r="L18" i="24"/>
  <c r="L22" i="24" s="1"/>
  <c r="K18" i="24"/>
  <c r="K22" i="24" s="1"/>
  <c r="J18" i="24"/>
  <c r="J22" i="24" s="1"/>
  <c r="I18" i="24"/>
  <c r="I22" i="24" s="1"/>
  <c r="H18" i="24"/>
  <c r="H22" i="24" s="1"/>
  <c r="G18" i="24"/>
  <c r="G22" i="24" s="1"/>
  <c r="F18" i="24"/>
  <c r="E18" i="24"/>
  <c r="D18" i="24"/>
  <c r="D22" i="24" s="1"/>
  <c r="C18" i="24"/>
  <c r="C22" i="24" s="1"/>
  <c r="AL22" i="24"/>
  <c r="AK22" i="24"/>
  <c r="AD22" i="24"/>
  <c r="AC22" i="24"/>
  <c r="V22" i="24"/>
  <c r="U22" i="24"/>
  <c r="N22" i="24"/>
  <c r="M22" i="24"/>
  <c r="F22" i="24"/>
  <c r="E22" i="24"/>
  <c r="AL9" i="24"/>
  <c r="AL15" i="24" s="1"/>
  <c r="AK9" i="24"/>
  <c r="AK15" i="24" s="1"/>
  <c r="AJ9" i="24"/>
  <c r="AI9" i="24"/>
  <c r="AI15" i="24" s="1"/>
  <c r="AH9" i="24"/>
  <c r="AH15" i="24" s="1"/>
  <c r="AG9" i="24"/>
  <c r="AG15" i="24" s="1"/>
  <c r="AF9" i="24"/>
  <c r="AF15" i="24" s="1"/>
  <c r="AE9" i="24"/>
  <c r="AE15" i="24" s="1"/>
  <c r="AD9" i="24"/>
  <c r="AD15" i="24" s="1"/>
  <c r="AC9" i="24"/>
  <c r="AC15" i="24" s="1"/>
  <c r="AB9" i="24"/>
  <c r="AB15" i="24" s="1"/>
  <c r="AA9" i="24"/>
  <c r="AA15" i="24" s="1"/>
  <c r="Z9" i="24"/>
  <c r="Z15" i="24" s="1"/>
  <c r="Y9" i="24"/>
  <c r="Y15" i="24" s="1"/>
  <c r="X9" i="24"/>
  <c r="X15" i="24" s="1"/>
  <c r="W9" i="24"/>
  <c r="W15" i="24" s="1"/>
  <c r="V9" i="24"/>
  <c r="V15" i="24" s="1"/>
  <c r="U9" i="24"/>
  <c r="U15" i="24" s="1"/>
  <c r="T9" i="24"/>
  <c r="T15" i="24" s="1"/>
  <c r="S9" i="24"/>
  <c r="S15" i="24" s="1"/>
  <c r="R9" i="24"/>
  <c r="R15" i="24" s="1"/>
  <c r="Q9" i="24"/>
  <c r="Q15" i="24" s="1"/>
  <c r="P9" i="24"/>
  <c r="P15" i="24" s="1"/>
  <c r="O9" i="24"/>
  <c r="O15" i="24" s="1"/>
  <c r="N9" i="24"/>
  <c r="N15" i="24" s="1"/>
  <c r="M9" i="24"/>
  <c r="M15" i="24" s="1"/>
  <c r="L9" i="24"/>
  <c r="L15" i="24" s="1"/>
  <c r="K9" i="24"/>
  <c r="K15" i="24" s="1"/>
  <c r="J9" i="24"/>
  <c r="J15" i="24" s="1"/>
  <c r="I9" i="24"/>
  <c r="I15" i="24" s="1"/>
  <c r="H9" i="24"/>
  <c r="H15" i="24" s="1"/>
  <c r="G9" i="24"/>
  <c r="G15" i="24" s="1"/>
  <c r="F9" i="24"/>
  <c r="F15" i="24" s="1"/>
  <c r="E9" i="24"/>
  <c r="E15" i="24" s="1"/>
  <c r="D9" i="24"/>
  <c r="D15" i="24" s="1"/>
  <c r="C9" i="24"/>
  <c r="C15" i="24" s="1"/>
  <c r="H20" i="28" l="1"/>
  <c r="K14" i="27"/>
  <c r="K27" i="27" s="1"/>
  <c r="J14" i="27"/>
  <c r="J27" i="27" s="1"/>
  <c r="G22" i="27"/>
  <c r="I15" i="27"/>
  <c r="I26" i="27"/>
  <c r="H17" i="27"/>
  <c r="H20" i="27" s="1"/>
  <c r="H28" i="27"/>
  <c r="F17" i="27"/>
  <c r="F20" i="27" s="1"/>
  <c r="F28" i="27"/>
  <c r="J24" i="27"/>
  <c r="J8" i="27"/>
  <c r="E20" i="27"/>
  <c r="C17" i="27"/>
  <c r="D20" i="27"/>
  <c r="R34" i="24"/>
  <c r="AH34" i="24"/>
  <c r="AL29" i="24"/>
  <c r="AL34" i="24" s="1"/>
  <c r="C29" i="24"/>
  <c r="C34" i="24" s="1"/>
  <c r="F29" i="24"/>
  <c r="F34" i="24" s="1"/>
  <c r="V29" i="24"/>
  <c r="V34" i="24" s="1"/>
  <c r="J29" i="24"/>
  <c r="J34" i="24" s="1"/>
  <c r="Z29" i="24"/>
  <c r="Z34" i="24" s="1"/>
  <c r="D29" i="24"/>
  <c r="D34" i="24" s="1"/>
  <c r="L29" i="24"/>
  <c r="L34" i="24" s="1"/>
  <c r="T29" i="24"/>
  <c r="T34" i="24" s="1"/>
  <c r="AB29" i="24"/>
  <c r="AB34" i="24" s="1"/>
  <c r="AJ29" i="24"/>
  <c r="AJ34" i="24" s="1"/>
  <c r="E29" i="24"/>
  <c r="E34" i="24" s="1"/>
  <c r="I29" i="24"/>
  <c r="I34" i="24" s="1"/>
  <c r="M29" i="24"/>
  <c r="M34" i="24" s="1"/>
  <c r="Q29" i="24"/>
  <c r="Q34" i="24" s="1"/>
  <c r="U29" i="24"/>
  <c r="U34" i="24" s="1"/>
  <c r="Y29" i="24"/>
  <c r="Y34" i="24" s="1"/>
  <c r="AC29" i="24"/>
  <c r="AC34" i="24" s="1"/>
  <c r="AG29" i="24"/>
  <c r="AG34" i="24" s="1"/>
  <c r="AG36" i="24" s="1"/>
  <c r="AK29" i="24"/>
  <c r="AK34" i="24" s="1"/>
  <c r="AC37" i="24"/>
  <c r="H29" i="24"/>
  <c r="H34" i="24" s="1"/>
  <c r="S35" i="24" s="1"/>
  <c r="P29" i="24"/>
  <c r="P34" i="24" s="1"/>
  <c r="X29" i="24"/>
  <c r="X34" i="24" s="1"/>
  <c r="U36" i="24" s="1"/>
  <c r="AF29" i="24"/>
  <c r="AF34" i="24" s="1"/>
  <c r="W36" i="24"/>
  <c r="AB22" i="24"/>
  <c r="AJ22" i="24"/>
  <c r="AJ15" i="24"/>
  <c r="E17" i="23"/>
  <c r="D17" i="23"/>
  <c r="C17" i="23"/>
  <c r="E13" i="23"/>
  <c r="D13" i="23"/>
  <c r="C13" i="23"/>
  <c r="A7" i="22"/>
  <c r="A6" i="22"/>
  <c r="A5" i="22"/>
  <c r="I11" i="13"/>
  <c r="H11" i="13"/>
  <c r="G11" i="13"/>
  <c r="I10" i="13"/>
  <c r="H10" i="13"/>
  <c r="G10" i="13"/>
  <c r="I9" i="13"/>
  <c r="H9" i="13"/>
  <c r="G9" i="13"/>
  <c r="I8" i="13"/>
  <c r="H8" i="13"/>
  <c r="G8" i="13"/>
  <c r="I7" i="13"/>
  <c r="H7" i="13"/>
  <c r="G7" i="13"/>
  <c r="I6" i="13"/>
  <c r="H6" i="13"/>
  <c r="G6" i="13"/>
  <c r="E12" i="15"/>
  <c r="I11" i="15" s="1"/>
  <c r="D12" i="15"/>
  <c r="H6" i="15" s="1"/>
  <c r="C12" i="15"/>
  <c r="G10" i="15" s="1"/>
  <c r="I12" i="14"/>
  <c r="H12" i="14"/>
  <c r="G12" i="14"/>
  <c r="I11" i="14"/>
  <c r="H11" i="14"/>
  <c r="G11" i="14"/>
  <c r="I10" i="14"/>
  <c r="H10" i="14"/>
  <c r="G10" i="14"/>
  <c r="I9" i="14"/>
  <c r="H9" i="14"/>
  <c r="G9" i="14"/>
  <c r="I8" i="14"/>
  <c r="H8" i="14"/>
  <c r="G8" i="14"/>
  <c r="I7" i="14"/>
  <c r="H7" i="14"/>
  <c r="G7" i="14"/>
  <c r="I6" i="14"/>
  <c r="H6" i="14"/>
  <c r="G6" i="14"/>
  <c r="E12" i="14"/>
  <c r="D12" i="14"/>
  <c r="C12" i="14"/>
  <c r="E11" i="13"/>
  <c r="D11" i="13"/>
  <c r="C11" i="13"/>
  <c r="J15" i="27" l="1"/>
  <c r="J26" i="27"/>
  <c r="H31" i="27"/>
  <c r="I17" i="27"/>
  <c r="I20" i="27" s="1"/>
  <c r="I28" i="27"/>
  <c r="F31" i="27"/>
  <c r="K24" i="27"/>
  <c r="K8" i="27"/>
  <c r="E31" i="27"/>
  <c r="E22" i="27"/>
  <c r="C20" i="27"/>
  <c r="D31" i="27"/>
  <c r="D22" i="27"/>
  <c r="Z35" i="24"/>
  <c r="V37" i="24"/>
  <c r="X37" i="24"/>
  <c r="AJ37" i="24"/>
  <c r="X35" i="24"/>
  <c r="AL37" i="24"/>
  <c r="R36" i="24"/>
  <c r="Y36" i="24"/>
  <c r="R37" i="24"/>
  <c r="G37" i="24"/>
  <c r="AB37" i="24"/>
  <c r="AL36" i="24"/>
  <c r="C36" i="24"/>
  <c r="K36" i="24"/>
  <c r="D37" i="24"/>
  <c r="M37" i="24"/>
  <c r="M36" i="24"/>
  <c r="Y37" i="24"/>
  <c r="V35" i="24"/>
  <c r="AE35" i="24"/>
  <c r="P36" i="24"/>
  <c r="L36" i="24"/>
  <c r="AH37" i="24"/>
  <c r="AC36" i="24"/>
  <c r="S36" i="24"/>
  <c r="AF37" i="24"/>
  <c r="AI37" i="24"/>
  <c r="T36" i="24"/>
  <c r="AJ36" i="24"/>
  <c r="T37" i="24"/>
  <c r="O36" i="24"/>
  <c r="AJ35" i="24"/>
  <c r="T35" i="24"/>
  <c r="AI36" i="24"/>
  <c r="Q36" i="24"/>
  <c r="W35" i="24"/>
  <c r="AD36" i="24"/>
  <c r="AK35" i="24"/>
  <c r="J36" i="24"/>
  <c r="I37" i="24"/>
  <c r="F37" i="24"/>
  <c r="L37" i="24"/>
  <c r="N35" i="24"/>
  <c r="Y35" i="24"/>
  <c r="AC35" i="24"/>
  <c r="AD37" i="24"/>
  <c r="U37" i="24"/>
  <c r="O37" i="24"/>
  <c r="AE36" i="24"/>
  <c r="AI35" i="24"/>
  <c r="AH36" i="24"/>
  <c r="AK37" i="24"/>
  <c r="AF36" i="24"/>
  <c r="P37" i="24"/>
  <c r="AF35" i="24"/>
  <c r="P35" i="24"/>
  <c r="AA37" i="24"/>
  <c r="O35" i="24"/>
  <c r="U35" i="24"/>
  <c r="H37" i="24"/>
  <c r="D36" i="24"/>
  <c r="J37" i="24"/>
  <c r="G36" i="24"/>
  <c r="E36" i="24"/>
  <c r="K37" i="24"/>
  <c r="Q35" i="24"/>
  <c r="AD35" i="24"/>
  <c r="AK36" i="24"/>
  <c r="Q37" i="24"/>
  <c r="AL35" i="24"/>
  <c r="W37" i="24"/>
  <c r="AA35" i="24"/>
  <c r="AA36" i="24"/>
  <c r="AG37" i="24"/>
  <c r="AB36" i="24"/>
  <c r="V36" i="24"/>
  <c r="AB35" i="24"/>
  <c r="S37" i="24"/>
  <c r="AE37" i="24"/>
  <c r="X36" i="24"/>
  <c r="AG35" i="24"/>
  <c r="C37" i="24"/>
  <c r="H36" i="24"/>
  <c r="F36" i="24"/>
  <c r="E37" i="24"/>
  <c r="I36" i="24"/>
  <c r="AH35" i="24"/>
  <c r="R35" i="24"/>
  <c r="I9" i="15"/>
  <c r="G7" i="15"/>
  <c r="G9" i="15"/>
  <c r="G11" i="15"/>
  <c r="H12" i="15"/>
  <c r="H7" i="15"/>
  <c r="H8" i="15"/>
  <c r="H9" i="15"/>
  <c r="I10" i="15"/>
  <c r="I6" i="15"/>
  <c r="G6" i="15"/>
  <c r="G8" i="15"/>
  <c r="G12" i="15"/>
  <c r="H11" i="15"/>
  <c r="H10" i="15"/>
  <c r="I12" i="15"/>
  <c r="I8" i="15"/>
  <c r="I7" i="15"/>
  <c r="A8" i="11"/>
  <c r="A7" i="11"/>
  <c r="A6" i="11"/>
  <c r="A5" i="11"/>
  <c r="E23" i="20"/>
  <c r="D23" i="20"/>
  <c r="C23" i="20"/>
  <c r="E20" i="20"/>
  <c r="D20" i="20"/>
  <c r="C20" i="20"/>
  <c r="E16" i="20"/>
  <c r="D16" i="20"/>
  <c r="C16" i="20"/>
  <c r="E12" i="20"/>
  <c r="D12" i="20"/>
  <c r="C12" i="20"/>
  <c r="E9" i="20"/>
  <c r="D9" i="20"/>
  <c r="C9" i="20"/>
  <c r="C12" i="19"/>
  <c r="E12" i="19"/>
  <c r="D12" i="19"/>
  <c r="D25" i="18"/>
  <c r="C25" i="18"/>
  <c r="E34" i="18"/>
  <c r="I32" i="18" s="1"/>
  <c r="D34" i="18"/>
  <c r="C34" i="18"/>
  <c r="G34" i="18" s="1"/>
  <c r="E25" i="18"/>
  <c r="H24" i="18"/>
  <c r="H22" i="18"/>
  <c r="H20" i="18"/>
  <c r="H12" i="18"/>
  <c r="H10" i="18"/>
  <c r="H8" i="18"/>
  <c r="E13" i="18"/>
  <c r="D13" i="18"/>
  <c r="M20" i="17"/>
  <c r="L20" i="17"/>
  <c r="K20" i="17"/>
  <c r="M19" i="17"/>
  <c r="L19" i="17"/>
  <c r="K19" i="17"/>
  <c r="A8" i="16"/>
  <c r="A7" i="16"/>
  <c r="A6" i="16"/>
  <c r="A5" i="16"/>
  <c r="I9" i="17"/>
  <c r="I12" i="17"/>
  <c r="H12" i="17"/>
  <c r="I13" i="17"/>
  <c r="H13" i="17"/>
  <c r="G11" i="17"/>
  <c r="M13" i="17"/>
  <c r="L13" i="17"/>
  <c r="K13" i="17"/>
  <c r="M12" i="17"/>
  <c r="L12" i="17"/>
  <c r="K12" i="17"/>
  <c r="M11" i="17"/>
  <c r="L11" i="17"/>
  <c r="K11" i="17"/>
  <c r="M10" i="17"/>
  <c r="L10" i="17"/>
  <c r="K10" i="17"/>
  <c r="M9" i="17"/>
  <c r="L9" i="17"/>
  <c r="K9" i="17"/>
  <c r="M7" i="17"/>
  <c r="L7" i="17"/>
  <c r="K7" i="17"/>
  <c r="M6" i="17"/>
  <c r="L6" i="17"/>
  <c r="L8" i="17" s="1"/>
  <c r="K6" i="17"/>
  <c r="I14" i="17"/>
  <c r="H14" i="17"/>
  <c r="H15" i="17" s="1"/>
  <c r="G14" i="17"/>
  <c r="K8" i="17"/>
  <c r="I8" i="17"/>
  <c r="H8" i="17"/>
  <c r="G8" i="17"/>
  <c r="E14" i="17"/>
  <c r="D14" i="17"/>
  <c r="C14" i="17"/>
  <c r="E8" i="17"/>
  <c r="E15" i="17" s="1"/>
  <c r="D8" i="17"/>
  <c r="C8" i="17"/>
  <c r="C15" i="17" s="1"/>
  <c r="AL9" i="10"/>
  <c r="Z9" i="10"/>
  <c r="AO20" i="10"/>
  <c r="AN20" i="10"/>
  <c r="AM20" i="10"/>
  <c r="AO19" i="10"/>
  <c r="AN19" i="10"/>
  <c r="AM19" i="10"/>
  <c r="AO18" i="10"/>
  <c r="AN18" i="10"/>
  <c r="AM18" i="10"/>
  <c r="AO17" i="10"/>
  <c r="AN17" i="10"/>
  <c r="AM17" i="10"/>
  <c r="AO14" i="10"/>
  <c r="AN14" i="10"/>
  <c r="AM14" i="10"/>
  <c r="AO13" i="10"/>
  <c r="AN13" i="10"/>
  <c r="AM13" i="10"/>
  <c r="AO12" i="10"/>
  <c r="AN12" i="10"/>
  <c r="AM12" i="10"/>
  <c r="AO11" i="10"/>
  <c r="AN11" i="10"/>
  <c r="AM11" i="10"/>
  <c r="AO10" i="10"/>
  <c r="AN10" i="10"/>
  <c r="AM10" i="10"/>
  <c r="AO9" i="10"/>
  <c r="AN9" i="10"/>
  <c r="AM9" i="10"/>
  <c r="AO8" i="10"/>
  <c r="AN8" i="10"/>
  <c r="AM8" i="10"/>
  <c r="AO7" i="10"/>
  <c r="AN7" i="10"/>
  <c r="AM7" i="10"/>
  <c r="AO6" i="10"/>
  <c r="AN6" i="10"/>
  <c r="AM6" i="10"/>
  <c r="H22" i="27" l="1"/>
  <c r="K15" i="27"/>
  <c r="K26" i="27"/>
  <c r="I31" i="27"/>
  <c r="J17" i="27"/>
  <c r="J20" i="27" s="1"/>
  <c r="J28" i="27"/>
  <c r="F22" i="27"/>
  <c r="C31" i="27"/>
  <c r="C22" i="27"/>
  <c r="C24" i="20"/>
  <c r="E24" i="20"/>
  <c r="D24" i="20"/>
  <c r="H21" i="18"/>
  <c r="I31" i="18"/>
  <c r="I33" i="18"/>
  <c r="I34" i="18"/>
  <c r="H32" i="18"/>
  <c r="H34" i="18"/>
  <c r="H31" i="18"/>
  <c r="H33" i="18"/>
  <c r="G33" i="18"/>
  <c r="G32" i="18"/>
  <c r="G31" i="18"/>
  <c r="I7" i="18"/>
  <c r="I11" i="18"/>
  <c r="I21" i="18"/>
  <c r="H9" i="18"/>
  <c r="I10" i="18"/>
  <c r="H19" i="18"/>
  <c r="I20" i="18"/>
  <c r="H23" i="18"/>
  <c r="I24" i="18"/>
  <c r="I9" i="18"/>
  <c r="I19" i="18"/>
  <c r="I23" i="18"/>
  <c r="H7" i="18"/>
  <c r="I8" i="18"/>
  <c r="H11" i="18"/>
  <c r="I12" i="18"/>
  <c r="I22" i="18"/>
  <c r="M14" i="17"/>
  <c r="L14" i="17"/>
  <c r="L15" i="17" s="1"/>
  <c r="K14" i="17"/>
  <c r="K15" i="17" s="1"/>
  <c r="M8" i="17"/>
  <c r="I15" i="17"/>
  <c r="G15" i="17"/>
  <c r="D15" i="17"/>
  <c r="AK21" i="10"/>
  <c r="AJ21" i="10"/>
  <c r="AI21" i="10"/>
  <c r="AH21" i="10"/>
  <c r="AG21" i="10"/>
  <c r="AF21" i="10"/>
  <c r="AE21" i="10"/>
  <c r="AD21" i="10"/>
  <c r="AC21" i="10"/>
  <c r="AB21" i="10"/>
  <c r="AA21" i="10"/>
  <c r="AO21" i="10" s="1"/>
  <c r="Z21" i="10"/>
  <c r="X21" i="10"/>
  <c r="W21" i="10"/>
  <c r="V21" i="10"/>
  <c r="U21" i="10"/>
  <c r="T21" i="10"/>
  <c r="S21" i="10"/>
  <c r="R21" i="10"/>
  <c r="Q21" i="10"/>
  <c r="P21" i="10"/>
  <c r="O21" i="10"/>
  <c r="N21" i="10"/>
  <c r="M21" i="10"/>
  <c r="K21" i="10"/>
  <c r="J21" i="10"/>
  <c r="I21" i="10"/>
  <c r="H21" i="10"/>
  <c r="G21" i="10"/>
  <c r="F21" i="10"/>
  <c r="E21" i="10"/>
  <c r="C21" i="10"/>
  <c r="AL21" i="10"/>
  <c r="Y21" i="10"/>
  <c r="L21" i="10"/>
  <c r="D21" i="10"/>
  <c r="AL15" i="10"/>
  <c r="AK9" i="10"/>
  <c r="AK15" i="10" s="1"/>
  <c r="AJ9" i="10"/>
  <c r="AJ15" i="10" s="1"/>
  <c r="AI9" i="10"/>
  <c r="AI15" i="10" s="1"/>
  <c r="AH9" i="10"/>
  <c r="AH15" i="10" s="1"/>
  <c r="AG9" i="10"/>
  <c r="AG15" i="10" s="1"/>
  <c r="AF9" i="10"/>
  <c r="AF15" i="10" s="1"/>
  <c r="AE9" i="10"/>
  <c r="AE15" i="10" s="1"/>
  <c r="AD9" i="10"/>
  <c r="AD15" i="10" s="1"/>
  <c r="AC9" i="10"/>
  <c r="AC15" i="10" s="1"/>
  <c r="AB9" i="10"/>
  <c r="AB15" i="10" s="1"/>
  <c r="AA9" i="10"/>
  <c r="AA15" i="10" s="1"/>
  <c r="Z15" i="10"/>
  <c r="Y9" i="10"/>
  <c r="Y15" i="10" s="1"/>
  <c r="X9" i="10"/>
  <c r="X15" i="10" s="1"/>
  <c r="W9" i="10"/>
  <c r="W15" i="10" s="1"/>
  <c r="V9" i="10"/>
  <c r="V15" i="10" s="1"/>
  <c r="U9" i="10"/>
  <c r="U15" i="10" s="1"/>
  <c r="T9" i="10"/>
  <c r="T15" i="10" s="1"/>
  <c r="S9" i="10"/>
  <c r="S15" i="10" s="1"/>
  <c r="R9" i="10"/>
  <c r="R15" i="10" s="1"/>
  <c r="Q9" i="10"/>
  <c r="Q15" i="10" s="1"/>
  <c r="P9" i="10"/>
  <c r="P15" i="10" s="1"/>
  <c r="O9" i="10"/>
  <c r="O15" i="10" s="1"/>
  <c r="M9" i="10"/>
  <c r="M15" i="10" s="1"/>
  <c r="L9" i="10"/>
  <c r="L15" i="10" s="1"/>
  <c r="K9" i="10"/>
  <c r="K15" i="10" s="1"/>
  <c r="J9" i="10"/>
  <c r="J15" i="10" s="1"/>
  <c r="I9" i="10"/>
  <c r="I15" i="10" s="1"/>
  <c r="H9" i="10"/>
  <c r="H15" i="10" s="1"/>
  <c r="G9" i="10"/>
  <c r="G15" i="10" s="1"/>
  <c r="F9" i="10"/>
  <c r="F15" i="10" s="1"/>
  <c r="E9" i="10"/>
  <c r="E15" i="10" s="1"/>
  <c r="D9" i="10"/>
  <c r="D15" i="10" s="1"/>
  <c r="C9" i="10"/>
  <c r="C15" i="10" s="1"/>
  <c r="N9" i="10"/>
  <c r="I22" i="27" l="1"/>
  <c r="J31" i="27"/>
  <c r="K17" i="27"/>
  <c r="K20" i="27" s="1"/>
  <c r="K28" i="27"/>
  <c r="AM21" i="10"/>
  <c r="AN21" i="10"/>
  <c r="H25" i="18"/>
  <c r="H13" i="18"/>
  <c r="I25" i="18"/>
  <c r="I13" i="18"/>
  <c r="M15" i="17"/>
  <c r="AN15" i="10"/>
  <c r="AO15" i="10"/>
  <c r="AM15" i="10"/>
  <c r="Z22" i="10"/>
  <c r="N15" i="10"/>
  <c r="N22" i="10" s="1"/>
  <c r="AL22" i="10"/>
  <c r="F22" i="10"/>
  <c r="J22" i="10"/>
  <c r="R22" i="10"/>
  <c r="V22" i="10"/>
  <c r="Y22" i="10"/>
  <c r="Q22" i="10"/>
  <c r="P22" i="10"/>
  <c r="X22" i="10"/>
  <c r="AH22" i="10"/>
  <c r="AG22" i="10"/>
  <c r="AD22" i="10"/>
  <c r="AF22" i="10"/>
  <c r="H22" i="10"/>
  <c r="I22" i="10"/>
  <c r="L22" i="10"/>
  <c r="AB22" i="10"/>
  <c r="AJ22" i="10"/>
  <c r="G22" i="10"/>
  <c r="O22" i="10"/>
  <c r="W22" i="10"/>
  <c r="AE22" i="10"/>
  <c r="E22" i="10"/>
  <c r="M22" i="10"/>
  <c r="U22" i="10"/>
  <c r="AK22" i="10"/>
  <c r="D22" i="10"/>
  <c r="T22" i="10"/>
  <c r="C22" i="10"/>
  <c r="K22" i="10"/>
  <c r="S22" i="10"/>
  <c r="AA22" i="10"/>
  <c r="AI22" i="10"/>
  <c r="AC22" i="10"/>
  <c r="C14" i="9"/>
  <c r="C15" i="9" s="1"/>
  <c r="C8" i="9"/>
  <c r="C21" i="8"/>
  <c r="D21" i="8"/>
  <c r="E21" i="8"/>
  <c r="J22" i="27" l="1"/>
  <c r="K31" i="27"/>
  <c r="AO22" i="10"/>
  <c r="AO23" i="10" s="1"/>
  <c r="AM22" i="10"/>
  <c r="AM23" i="10" s="1"/>
  <c r="AN22" i="10"/>
  <c r="AN23" i="10" s="1"/>
  <c r="E18" i="8"/>
  <c r="D18" i="8"/>
  <c r="C18" i="8"/>
  <c r="E13" i="8"/>
  <c r="E23" i="8"/>
  <c r="D23" i="8"/>
  <c r="C23" i="8"/>
  <c r="E32" i="8"/>
  <c r="D32" i="8"/>
  <c r="C32" i="8"/>
  <c r="E10" i="8"/>
  <c r="D10" i="8"/>
  <c r="E9" i="8"/>
  <c r="D9" i="8"/>
  <c r="E8" i="8"/>
  <c r="D8" i="8"/>
  <c r="E7" i="8"/>
  <c r="D7" i="8"/>
  <c r="C10" i="8"/>
  <c r="C9" i="8"/>
  <c r="C8" i="8"/>
  <c r="C7" i="8"/>
  <c r="E6" i="8"/>
  <c r="D6" i="8"/>
  <c r="C6" i="8"/>
  <c r="K22" i="27" l="1"/>
  <c r="C11" i="8"/>
  <c r="C26" i="8" s="1"/>
  <c r="D11" i="8"/>
  <c r="D26" i="8" s="1"/>
  <c r="E11" i="8"/>
  <c r="E26" i="8" s="1"/>
  <c r="A8" i="7"/>
  <c r="A7" i="7"/>
  <c r="A6" i="7"/>
  <c r="E11" i="6"/>
  <c r="D11" i="6"/>
  <c r="C11" i="6"/>
  <c r="E6" i="6"/>
  <c r="E10" i="6" s="1"/>
  <c r="D6" i="6"/>
  <c r="D10" i="6" s="1"/>
  <c r="C6" i="6"/>
  <c r="C10" i="6" s="1"/>
  <c r="A27" i="12"/>
  <c r="C26" i="12"/>
  <c r="E25" i="12"/>
  <c r="D25" i="12"/>
  <c r="C25" i="12"/>
  <c r="E19" i="12"/>
  <c r="E26" i="12" s="1"/>
  <c r="D19" i="12"/>
  <c r="D26" i="12" s="1"/>
  <c r="C19" i="12"/>
  <c r="D15" i="12"/>
  <c r="C15" i="12"/>
  <c r="E14" i="12"/>
  <c r="D14" i="12"/>
  <c r="C14" i="12"/>
  <c r="E9" i="12"/>
  <c r="E15" i="12" s="1"/>
  <c r="D9" i="12"/>
  <c r="C9" i="12"/>
  <c r="C13" i="5"/>
  <c r="C19" i="5" s="1"/>
  <c r="C25" i="5"/>
  <c r="C9" i="5"/>
  <c r="E25" i="5"/>
  <c r="D25" i="5"/>
  <c r="E13" i="5"/>
  <c r="D13" i="5"/>
  <c r="E9" i="5"/>
  <c r="D9" i="5"/>
  <c r="E27" i="4"/>
  <c r="D27" i="4"/>
  <c r="C27" i="4"/>
  <c r="E26" i="4"/>
  <c r="D26" i="4"/>
  <c r="C26" i="4"/>
  <c r="E24" i="4"/>
  <c r="D24" i="4"/>
  <c r="I19" i="4"/>
  <c r="H19" i="4"/>
  <c r="G19" i="4"/>
  <c r="I18" i="4"/>
  <c r="H18" i="4"/>
  <c r="G18" i="4"/>
  <c r="I16" i="4"/>
  <c r="H16" i="4"/>
  <c r="G16" i="4"/>
  <c r="I13" i="4"/>
  <c r="H13" i="4"/>
  <c r="G13" i="4"/>
  <c r="I12" i="4"/>
  <c r="H12" i="4"/>
  <c r="G12" i="4"/>
  <c r="I11" i="4"/>
  <c r="H11" i="4"/>
  <c r="G11" i="4"/>
  <c r="I10" i="4"/>
  <c r="H10" i="4"/>
  <c r="G10" i="4"/>
  <c r="I9" i="4"/>
  <c r="H9" i="4"/>
  <c r="G9" i="4"/>
  <c r="I7" i="4"/>
  <c r="H7" i="4"/>
  <c r="G7" i="4"/>
  <c r="I6" i="4"/>
  <c r="H6" i="4"/>
  <c r="G6" i="4"/>
  <c r="E14" i="4"/>
  <c r="D14" i="4"/>
  <c r="D15" i="4" s="1"/>
  <c r="D17" i="4" s="1"/>
  <c r="D20" i="4" s="1"/>
  <c r="H20" i="4" s="1"/>
  <c r="C14" i="4"/>
  <c r="E8" i="4"/>
  <c r="I8" i="4" s="1"/>
  <c r="D8" i="4"/>
  <c r="H8" i="4" s="1"/>
  <c r="C8" i="4"/>
  <c r="G8" i="4" s="1"/>
  <c r="A12" i="29"/>
  <c r="A7" i="3"/>
  <c r="A6" i="3"/>
  <c r="A5" i="3"/>
  <c r="B31" i="2"/>
  <c r="B30" i="2"/>
  <c r="B29" i="2"/>
  <c r="A29" i="2"/>
  <c r="B27" i="2"/>
  <c r="B26" i="2"/>
  <c r="B25" i="2"/>
  <c r="A25" i="2"/>
  <c r="B22" i="2"/>
  <c r="B21" i="2"/>
  <c r="B20" i="2"/>
  <c r="B19" i="2"/>
  <c r="A19" i="2"/>
  <c r="B16" i="2"/>
  <c r="B15" i="2"/>
  <c r="B14" i="2"/>
  <c r="B13" i="2"/>
  <c r="A13" i="2"/>
  <c r="B11" i="2"/>
  <c r="B10" i="2"/>
  <c r="B9" i="2"/>
  <c r="B6" i="2"/>
  <c r="B5" i="2"/>
  <c r="B4" i="2"/>
  <c r="A8" i="2"/>
  <c r="A4" i="2"/>
  <c r="A2" i="28"/>
  <c r="A2" i="27"/>
  <c r="A2" i="25"/>
  <c r="A2" i="24"/>
  <c r="A2" i="23"/>
  <c r="A18" i="23" s="1"/>
  <c r="A2" i="15"/>
  <c r="A13" i="15" s="1"/>
  <c r="A2" i="14"/>
  <c r="A13" i="14" s="1"/>
  <c r="A2" i="13"/>
  <c r="A12" i="13" s="1"/>
  <c r="A2" i="12"/>
  <c r="A2" i="20"/>
  <c r="A25" i="20" s="1"/>
  <c r="A2" i="19"/>
  <c r="A13" i="19" s="1"/>
  <c r="A2" i="18"/>
  <c r="A2" i="17"/>
  <c r="A16" i="17" s="1"/>
  <c r="A2" i="10"/>
  <c r="A24" i="10" s="1"/>
  <c r="A2" i="9"/>
  <c r="A16" i="9" s="1"/>
  <c r="A2" i="8"/>
  <c r="A29" i="8" s="1"/>
  <c r="A2" i="6"/>
  <c r="A12" i="6" s="1"/>
  <c r="A2" i="5"/>
  <c r="A26" i="5" s="1"/>
  <c r="A2" i="4"/>
  <c r="A28" i="4" s="1"/>
  <c r="A35" i="18" l="1"/>
  <c r="A26" i="18"/>
  <c r="A14" i="18"/>
  <c r="C19" i="8"/>
  <c r="C27" i="8" s="1"/>
  <c r="D19" i="8"/>
  <c r="E19" i="8"/>
  <c r="E27" i="8" s="1"/>
  <c r="C20" i="5"/>
  <c r="D19" i="5"/>
  <c r="D20" i="5" s="1"/>
  <c r="E19" i="5"/>
  <c r="E20" i="5" s="1"/>
  <c r="E15" i="4"/>
  <c r="E17" i="4" s="1"/>
  <c r="E20" i="4" s="1"/>
  <c r="I20" i="4" s="1"/>
  <c r="C15" i="4"/>
  <c r="C17" i="4" s="1"/>
  <c r="C20" i="4" s="1"/>
  <c r="G20" i="4" s="1"/>
  <c r="G14" i="4"/>
  <c r="I14" i="4"/>
  <c r="H14" i="4"/>
  <c r="G15" i="4"/>
  <c r="G17" i="4"/>
  <c r="H15" i="4"/>
  <c r="H17" i="4"/>
  <c r="H21" i="4"/>
  <c r="C24" i="8" l="1"/>
  <c r="C28" i="8" s="1"/>
  <c r="D27" i="8"/>
  <c r="D24" i="8"/>
  <c r="D28" i="8" s="1"/>
  <c r="E24" i="8"/>
  <c r="E28" i="8" s="1"/>
  <c r="I15" i="4"/>
  <c r="I17" i="4"/>
  <c r="I21" i="4"/>
  <c r="C22" i="4"/>
  <c r="G22" i="4" s="1"/>
  <c r="G21" i="4"/>
  <c r="D22" i="4"/>
  <c r="H22" i="4" s="1"/>
  <c r="E22" i="4" l="1"/>
  <c r="I22" i="4" s="1"/>
  <c r="C13" i="18"/>
  <c r="G24" i="18" l="1"/>
  <c r="G20" i="18"/>
  <c r="G10" i="18"/>
  <c r="G21" i="18"/>
  <c r="G11" i="18"/>
  <c r="G7" i="18"/>
  <c r="G22" i="18"/>
  <c r="G12" i="18"/>
  <c r="G8" i="18"/>
  <c r="G23" i="18"/>
  <c r="G19" i="18"/>
  <c r="G9" i="18"/>
  <c r="G13" i="18" l="1"/>
  <c r="G25" i="18"/>
</calcChain>
</file>

<file path=xl/sharedStrings.xml><?xml version="1.0" encoding="utf-8"?>
<sst xmlns="http://schemas.openxmlformats.org/spreadsheetml/2006/main" count="753" uniqueCount="303">
  <si>
    <t>Divestopia - Financial Fact Book</t>
  </si>
  <si>
    <t>DRAFT</t>
  </si>
  <si>
    <t>Table of contents</t>
  </si>
  <si>
    <t>Lead section</t>
  </si>
  <si>
    <t>Lead-PL</t>
  </si>
  <si>
    <t>Lead-BS</t>
  </si>
  <si>
    <t>Lead-CF</t>
  </si>
  <si>
    <t>Lead income statement</t>
  </si>
  <si>
    <t>Lead cash flow statement</t>
  </si>
  <si>
    <t>Valuation drivers section</t>
  </si>
  <si>
    <t>Adjusted EBITDA</t>
  </si>
  <si>
    <t>Net debt overview</t>
  </si>
  <si>
    <t>Normalized net working capital overview</t>
  </si>
  <si>
    <t>Income statement section</t>
  </si>
  <si>
    <t>PL1</t>
  </si>
  <si>
    <t>PL2</t>
  </si>
  <si>
    <t>PL3</t>
  </si>
  <si>
    <t>PL4</t>
  </si>
  <si>
    <t>Balance sheet section</t>
  </si>
  <si>
    <t>BS1</t>
  </si>
  <si>
    <t>BS2</t>
  </si>
  <si>
    <t>BS3</t>
  </si>
  <si>
    <t>BS4</t>
  </si>
  <si>
    <t>Cash flow section</t>
  </si>
  <si>
    <t>CF1</t>
  </si>
  <si>
    <t>CF2</t>
  </si>
  <si>
    <t>CF3</t>
  </si>
  <si>
    <t>Forecast section</t>
  </si>
  <si>
    <t>FC1</t>
  </si>
  <si>
    <t>FC2</t>
  </si>
  <si>
    <t>FC3</t>
  </si>
  <si>
    <t>Section name</t>
  </si>
  <si>
    <t>Sheet name</t>
  </si>
  <si>
    <t>Tab name</t>
  </si>
  <si>
    <t>Page</t>
  </si>
  <si>
    <t>Divestopia.com</t>
  </si>
  <si>
    <t>AE</t>
  </si>
  <si>
    <t>ND</t>
  </si>
  <si>
    <t>NWC</t>
  </si>
  <si>
    <t>Currency: $ 000</t>
  </si>
  <si>
    <t>Ref</t>
  </si>
  <si>
    <t>FY17</t>
  </si>
  <si>
    <t>FY18</t>
  </si>
  <si>
    <t>FY19</t>
  </si>
  <si>
    <t>Source: Trial balance and annual financial statement</t>
  </si>
  <si>
    <t>Revenues</t>
  </si>
  <si>
    <t>Cost of sales</t>
  </si>
  <si>
    <t>Gross margin</t>
  </si>
  <si>
    <t>Salaries</t>
  </si>
  <si>
    <t>Housing</t>
  </si>
  <si>
    <t>Selling expenses</t>
  </si>
  <si>
    <t>Administrative expenses</t>
  </si>
  <si>
    <t>Other</t>
  </si>
  <si>
    <t>Total operating expenses</t>
  </si>
  <si>
    <t>Depreciation</t>
  </si>
  <si>
    <t>Interest expenses</t>
  </si>
  <si>
    <t>Interest income</t>
  </si>
  <si>
    <t>Income tax</t>
  </si>
  <si>
    <t>Net result</t>
  </si>
  <si>
    <t>Profit before tax</t>
  </si>
  <si>
    <t>Operating income</t>
  </si>
  <si>
    <t>In % of revenues</t>
  </si>
  <si>
    <t>KPIs</t>
  </si>
  <si>
    <t>Y-o-y revenue growth</t>
  </si>
  <si>
    <t>Reported EBITDA</t>
  </si>
  <si>
    <t>Average number of FTE</t>
  </si>
  <si>
    <t>Salaries per FTE</t>
  </si>
  <si>
    <t>Income tax as % of PBT</t>
  </si>
  <si>
    <t>n.a.</t>
  </si>
  <si>
    <t>Lead balance sheet / capital employed</t>
  </si>
  <si>
    <t>Tangible fixed assets</t>
  </si>
  <si>
    <t>Intangible fixed assets</t>
  </si>
  <si>
    <t>Goodwill</t>
  </si>
  <si>
    <t>Fixed assets</t>
  </si>
  <si>
    <t>Inventories</t>
  </si>
  <si>
    <t>Trade receivables</t>
  </si>
  <si>
    <t>Trade payables</t>
  </si>
  <si>
    <t>Trade net working capital</t>
  </si>
  <si>
    <t>Payroll liabilities</t>
  </si>
  <si>
    <t>Other taxes payables</t>
  </si>
  <si>
    <t>Income tax payable</t>
  </si>
  <si>
    <t>Other payables</t>
  </si>
  <si>
    <t>Other receivables</t>
  </si>
  <si>
    <t>Net working capital</t>
  </si>
  <si>
    <t>Equity</t>
  </si>
  <si>
    <t>Capital employed</t>
  </si>
  <si>
    <t>Net assets</t>
  </si>
  <si>
    <t>Provisions</t>
  </si>
  <si>
    <t>Cash at banks</t>
  </si>
  <si>
    <t>Long-term loans</t>
  </si>
  <si>
    <t>Total assets</t>
  </si>
  <si>
    <t>Current assets</t>
  </si>
  <si>
    <t>Long-term liabilities</t>
  </si>
  <si>
    <t>Short-term liabilities</t>
  </si>
  <si>
    <t>Total equity and liabilities</t>
  </si>
  <si>
    <t>Capex</t>
  </si>
  <si>
    <t>Change in net working capital</t>
  </si>
  <si>
    <t>Taxes paid</t>
  </si>
  <si>
    <t>Free cash flow</t>
  </si>
  <si>
    <t>Cash conversion in %</t>
  </si>
  <si>
    <t>Traditional balance sheet overview</t>
  </si>
  <si>
    <t>Back to: Table of contents</t>
  </si>
  <si>
    <t>Adjustments:</t>
  </si>
  <si>
    <t>Total EBITDA adjustments</t>
  </si>
  <si>
    <t>Pro forma adjustments:</t>
  </si>
  <si>
    <t>Total pro forma adjustments</t>
  </si>
  <si>
    <t>Pro forma adjusted EBITDA</t>
  </si>
  <si>
    <t>In % of revenues:</t>
  </si>
  <si>
    <t>Debtor write-off below EBITDA</t>
  </si>
  <si>
    <t>Release provision</t>
  </si>
  <si>
    <t>Recruitment cost new CFO</t>
  </si>
  <si>
    <t>Double salary new CFO</t>
  </si>
  <si>
    <t>One-off advisory cost</t>
  </si>
  <si>
    <t>New salary owner</t>
  </si>
  <si>
    <t>Change rental contract</t>
  </si>
  <si>
    <t>Source: Management information</t>
  </si>
  <si>
    <t>Reported net debt</t>
  </si>
  <si>
    <t>Debt- or (cash)-like items:</t>
  </si>
  <si>
    <t>Total debt like items</t>
  </si>
  <si>
    <t>Adjusted net debt</t>
  </si>
  <si>
    <t>Corporate income tax payable</t>
  </si>
  <si>
    <t>One-off IT advisory cost payable</t>
  </si>
  <si>
    <t>Accrued interest</t>
  </si>
  <si>
    <t>Shareholder payable</t>
  </si>
  <si>
    <t>Reported net working capital</t>
  </si>
  <si>
    <t>Total adjustments</t>
  </si>
  <si>
    <t>Adjusted net working capital</t>
  </si>
  <si>
    <t>Averages</t>
  </si>
  <si>
    <t>L3M</t>
  </si>
  <si>
    <t>L6M</t>
  </si>
  <si>
    <t>LTM</t>
  </si>
  <si>
    <t>Variance with Dec19 NWC</t>
  </si>
  <si>
    <t>Recast income statement</t>
  </si>
  <si>
    <t>Revenue breakdown</t>
  </si>
  <si>
    <t>Cost of sales breakdown</t>
  </si>
  <si>
    <t>Salaries and other expenses breakdown</t>
  </si>
  <si>
    <t>Reported</t>
  </si>
  <si>
    <t>Adjustments</t>
  </si>
  <si>
    <t>Recasted</t>
  </si>
  <si>
    <t>EBITDA</t>
  </si>
  <si>
    <t>checks</t>
  </si>
  <si>
    <t>Revenue by product</t>
  </si>
  <si>
    <t>Product 1</t>
  </si>
  <si>
    <t>Product 2</t>
  </si>
  <si>
    <t>Product 3</t>
  </si>
  <si>
    <t>Product 4</t>
  </si>
  <si>
    <t>Product 5</t>
  </si>
  <si>
    <t>Product 6</t>
  </si>
  <si>
    <t>In %</t>
  </si>
  <si>
    <t>Source: Sales details</t>
  </si>
  <si>
    <t>Revenue by channel</t>
  </si>
  <si>
    <t>Direct</t>
  </si>
  <si>
    <t>Distributors</t>
  </si>
  <si>
    <t>Online</t>
  </si>
  <si>
    <t>Revenue by country</t>
  </si>
  <si>
    <t>United States</t>
  </si>
  <si>
    <t>Canada</t>
  </si>
  <si>
    <t>United Kingdom</t>
  </si>
  <si>
    <t>Germany</t>
  </si>
  <si>
    <t>France</t>
  </si>
  <si>
    <t>China</t>
  </si>
  <si>
    <t>Raw materials</t>
  </si>
  <si>
    <t>Direct materials</t>
  </si>
  <si>
    <t>Indirect materials</t>
  </si>
  <si>
    <t>Overhead manufacturing</t>
  </si>
  <si>
    <t>Price difference</t>
  </si>
  <si>
    <t>Freight</t>
  </si>
  <si>
    <t>Operating expenses</t>
  </si>
  <si>
    <t>Gross salaries</t>
  </si>
  <si>
    <t>Social charges</t>
  </si>
  <si>
    <t>Bonus</t>
  </si>
  <si>
    <t>Rental costs</t>
  </si>
  <si>
    <t>Maintenance</t>
  </si>
  <si>
    <t>Marketing</t>
  </si>
  <si>
    <t>Debtor write-off</t>
  </si>
  <si>
    <t>Website</t>
  </si>
  <si>
    <t>Insurance</t>
  </si>
  <si>
    <t>Accounting</t>
  </si>
  <si>
    <t>Professional fees</t>
  </si>
  <si>
    <t>Inventory breakdown</t>
  </si>
  <si>
    <t>Trade receivable ageing</t>
  </si>
  <si>
    <t>Trade payable ageing</t>
  </si>
  <si>
    <t>Capex breakdown</t>
  </si>
  <si>
    <t>Monthly net working capital overview</t>
  </si>
  <si>
    <t>Monthly DSO, DIO and DPO overview</t>
  </si>
  <si>
    <t>Income statement FY19 - FY25</t>
  </si>
  <si>
    <t>Balance sheet Dec19 - Dec25</t>
  </si>
  <si>
    <t>Cash flow FY19 - FY25</t>
  </si>
  <si>
    <t>Not due</t>
  </si>
  <si>
    <t>&lt; 30 days</t>
  </si>
  <si>
    <t>31 - 60 days</t>
  </si>
  <si>
    <t>61 - 90 days</t>
  </si>
  <si>
    <t>91 - 120 days</t>
  </si>
  <si>
    <t>&gt; 120 days</t>
  </si>
  <si>
    <t xml:space="preserve">Maintenance </t>
  </si>
  <si>
    <t>Expansion</t>
  </si>
  <si>
    <t>Of which:</t>
  </si>
  <si>
    <t>Machinery</t>
  </si>
  <si>
    <t>Installations</t>
  </si>
  <si>
    <t>Trucks</t>
  </si>
  <si>
    <t>Building improvement</t>
  </si>
  <si>
    <t>Hygiene</t>
  </si>
  <si>
    <t>Safety</t>
  </si>
  <si>
    <t>Revenue and gross margin overview</t>
  </si>
  <si>
    <t>Inventory overview</t>
  </si>
  <si>
    <t>Trade receivable ageing overview</t>
  </si>
  <si>
    <t>Trade payable ageing overview</t>
  </si>
  <si>
    <t>Capex overview by type</t>
  </si>
  <si>
    <t>Recast net working capital</t>
  </si>
  <si>
    <t>LTM average net working capital</t>
  </si>
  <si>
    <t>Minimum</t>
  </si>
  <si>
    <t>Maximum</t>
  </si>
  <si>
    <t>Recast net working capital by account</t>
  </si>
  <si>
    <t>Recast net working capital overview</t>
  </si>
  <si>
    <t>Monthly numbers:</t>
  </si>
  <si>
    <t>Revenue</t>
  </si>
  <si>
    <t>Days in month</t>
  </si>
  <si>
    <t>DIO</t>
  </si>
  <si>
    <t>DSO</t>
  </si>
  <si>
    <t>DPO</t>
  </si>
  <si>
    <t>CCC</t>
  </si>
  <si>
    <t>Days metrics:</t>
  </si>
  <si>
    <t>FY20F</t>
  </si>
  <si>
    <t>FY21F</t>
  </si>
  <si>
    <t>FY22F</t>
  </si>
  <si>
    <t>FY23F</t>
  </si>
  <si>
    <t>FY24F</t>
  </si>
  <si>
    <t>FY25F</t>
  </si>
  <si>
    <t>FY17A</t>
  </si>
  <si>
    <t>FY18A</t>
  </si>
  <si>
    <t>FY19A</t>
  </si>
  <si>
    <t>Dec17A</t>
  </si>
  <si>
    <t>Dec18A</t>
  </si>
  <si>
    <t>Dec19A</t>
  </si>
  <si>
    <t>Dec20F</t>
  </si>
  <si>
    <t>Dec21F</t>
  </si>
  <si>
    <t>Dec22F</t>
  </si>
  <si>
    <t>Dec23F</t>
  </si>
  <si>
    <t>Dec24F</t>
  </si>
  <si>
    <t>Dec25F</t>
  </si>
  <si>
    <t>Traditional balance sheet</t>
  </si>
  <si>
    <t>Source: Business plan</t>
  </si>
  <si>
    <t>Free cash flow overview</t>
  </si>
  <si>
    <t>Number of days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</si>
  <si>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</si>
  <si>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</si>
  <si>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</si>
  <si>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</si>
  <si>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</si>
  <si>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</si>
  <si>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</si>
  <si>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</si>
  <si>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</si>
  <si>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</si>
  <si>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</si>
  <si>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</si>
  <si>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Average</t>
  </si>
  <si>
    <t>Days sales outstanding</t>
  </si>
  <si>
    <t>Days inventory outstanding</t>
  </si>
  <si>
    <t>Days payable outstanding</t>
  </si>
  <si>
    <t>Revenue by channel in % in FY19</t>
  </si>
  <si>
    <t>VAT %</t>
  </si>
  <si>
    <t>Cost of sales + opex - payroll</t>
  </si>
  <si>
    <t>Cash conversion cycle</t>
  </si>
  <si>
    <t>Days sales outstanding overview</t>
  </si>
  <si>
    <t>Days payable outstanding overview</t>
  </si>
  <si>
    <t>Days inventory outstanding overview</t>
  </si>
  <si>
    <t>Cash conversion cycle overview</t>
  </si>
  <si>
    <t>Forecast assumptions</t>
  </si>
  <si>
    <t>FC4</t>
  </si>
  <si>
    <t>Other possible balance sheet analyses</t>
  </si>
  <si>
    <t>Examples of other analyses</t>
  </si>
  <si>
    <t>Fixed asset roll forward schedule</t>
  </si>
  <si>
    <t>Overview of fixed assets per type and location</t>
  </si>
  <si>
    <t>Breakdown of other receivables</t>
  </si>
  <si>
    <t>Breakdown of other payables</t>
  </si>
  <si>
    <t>Calculation of provision for bad debt</t>
  </si>
  <si>
    <t>Calculation of provision for obsolete inventories</t>
  </si>
  <si>
    <t>Overview of cash per country</t>
  </si>
  <si>
    <t>Equity roll forward schedule</t>
  </si>
  <si>
    <t>Calculation of provisions</t>
  </si>
  <si>
    <t>Overview of reported net debt, including terms and conditions</t>
  </si>
  <si>
    <t>Calculation of loan covenants</t>
  </si>
  <si>
    <t>Deferred tax asset or deferred tax liability breakdown</t>
  </si>
  <si>
    <t>Breakdown of payroll liabilities</t>
  </si>
  <si>
    <t>BS5</t>
  </si>
  <si>
    <t>Other possible income statement analyses</t>
  </si>
  <si>
    <t>Source: www.divestopia.com</t>
  </si>
  <si>
    <t>PL5</t>
  </si>
  <si>
    <t>Revenue price and volume analyses</t>
  </si>
  <si>
    <t>Gross margin per product, type and region</t>
  </si>
  <si>
    <t>Foreign exchange exposure</t>
  </si>
  <si>
    <t>Headcount development per month and per department</t>
  </si>
  <si>
    <t>Monthly operating expenses breakdown</t>
  </si>
  <si>
    <t>Revenue, gross margin and EBITDA per location / plant</t>
  </si>
  <si>
    <t>Constant currency income statement</t>
  </si>
  <si>
    <t>Enterprise value to equity value bridge</t>
  </si>
  <si>
    <t>Enterprise value</t>
  </si>
  <si>
    <t>Normal NWC</t>
  </si>
  <si>
    <t>NWC variance adjustment</t>
  </si>
  <si>
    <t>Actual NWC at Dec19</t>
  </si>
  <si>
    <t>Equity value</t>
  </si>
  <si>
    <t>EVtoEQ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</si>
</sst>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#,##0_);\(#,##0\)"/>
    <numFmt numFmtId="165" formatCode="#,##0.0_);\(#,##0.0\)"/>
    <numFmt numFmtId="166" formatCode="mmmyy"/>
    <numFmt numFmtId="167" formatCode="#,##0_ ;_ \-#,##0_ ;_ &quot;-&quot;??_ ;_ @_ "/>
  </numFmts>
  <fonts count="2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i/>
      <sz val="14"/>
      <color rgb="FF000000"/>
      <name val="Calibri"/>
      <family val="2"/>
      <scheme val="minor"/>
    </font>
    <font>
      <i/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3"/>
      <name val="Calibri"/>
      <family val="2"/>
      <scheme val="minor"/>
    </font>
    <font>
      <sz val="9"/>
      <color theme="4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u/>
      <sz val="12"/>
      <color theme="10"/>
      <name val="Calibri"/>
      <family val="2"/>
      <scheme val="minor"/>
    </font>
    <font>
      <i/>
      <u/>
      <sz val="12"/>
      <color indexed="30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b/>
      <i/>
      <sz val="12"/>
      <color theme="3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14" fontId="5" fillId="0" borderId="0" xfId="0" applyNumberFormat="1" applyFont="1" applyAlignment="1">
      <alignment horizontal="left"/>
    </xf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9" fillId="0" borderId="0" xfId="2"/>
    <xf numFmtId="0" fontId="0" fillId="0" borderId="1" xfId="0" applyBorder="1"/>
    <xf numFmtId="0" fontId="7" fillId="0" borderId="2" xfId="0" applyFont="1" applyBorder="1"/>
    <xf numFmtId="0" fontId="0" fillId="0" borderId="2" xfId="0" applyBorder="1"/>
    <xf numFmtId="0" fontId="15" fillId="0" borderId="0" xfId="0" applyFont="1"/>
    <xf numFmtId="0" fontId="7" fillId="0" borderId="0" xfId="0" applyFont="1" applyBorder="1"/>
    <xf numFmtId="0" fontId="7" fillId="0" borderId="1" xfId="0" applyFont="1" applyBorder="1"/>
    <xf numFmtId="164" fontId="0" fillId="0" borderId="0" xfId="1" applyNumberFormat="1" applyFont="1"/>
    <xf numFmtId="164" fontId="2" fillId="0" borderId="0" xfId="1" applyNumberFormat="1" applyFont="1"/>
    <xf numFmtId="164" fontId="7" fillId="0" borderId="1" xfId="1" applyNumberFormat="1" applyFont="1" applyBorder="1"/>
    <xf numFmtId="164" fontId="0" fillId="0" borderId="1" xfId="1" applyNumberFormat="1" applyFont="1" applyBorder="1"/>
    <xf numFmtId="164" fontId="2" fillId="0" borderId="0" xfId="1" applyNumberFormat="1" applyFont="1" applyBorder="1"/>
    <xf numFmtId="0" fontId="2" fillId="0" borderId="0" xfId="0" applyFont="1" applyBorder="1"/>
    <xf numFmtId="165" fontId="7" fillId="0" borderId="0" xfId="1" applyNumberFormat="1" applyFont="1"/>
    <xf numFmtId="165" fontId="16" fillId="0" borderId="0" xfId="1" applyNumberFormat="1" applyFont="1"/>
    <xf numFmtId="165" fontId="7" fillId="0" borderId="1" xfId="1" applyNumberFormat="1" applyFont="1" applyBorder="1"/>
    <xf numFmtId="0" fontId="12" fillId="2" borderId="2" xfId="0" applyFont="1" applyFill="1" applyBorder="1"/>
    <xf numFmtId="0" fontId="13" fillId="2" borderId="2" xfId="0" applyFont="1" applyFill="1" applyBorder="1" applyAlignment="1">
      <alignment horizontal="right"/>
    </xf>
    <xf numFmtId="0" fontId="16" fillId="0" borderId="0" xfId="0" applyFont="1" applyBorder="1"/>
    <xf numFmtId="165" fontId="7" fillId="0" borderId="0" xfId="1" applyNumberFormat="1" applyFont="1" applyBorder="1"/>
    <xf numFmtId="164" fontId="7" fillId="0" borderId="0" xfId="1" applyNumberFormat="1" applyFont="1" applyBorder="1" applyAlignment="1">
      <alignment horizontal="right"/>
    </xf>
    <xf numFmtId="166" fontId="13" fillId="2" borderId="2" xfId="0" applyNumberFormat="1" applyFont="1" applyFill="1" applyBorder="1" applyAlignment="1">
      <alignment horizontal="right"/>
    </xf>
    <xf numFmtId="0" fontId="0" fillId="0" borderId="0" xfId="0" applyAlignment="1">
      <alignment horizontal="left" indent="1"/>
    </xf>
    <xf numFmtId="0" fontId="0" fillId="0" borderId="0" xfId="0" applyBorder="1"/>
    <xf numFmtId="0" fontId="2" fillId="3" borderId="1" xfId="0" applyFont="1" applyFill="1" applyBorder="1"/>
    <xf numFmtId="164" fontId="2" fillId="3" borderId="2" xfId="1" applyNumberFormat="1" applyFont="1" applyFill="1" applyBorder="1"/>
    <xf numFmtId="165" fontId="16" fillId="3" borderId="2" xfId="1" applyNumberFormat="1" applyFont="1" applyFill="1" applyBorder="1"/>
    <xf numFmtId="0" fontId="2" fillId="3" borderId="2" xfId="0" applyFont="1" applyFill="1" applyBorder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/>
    <xf numFmtId="0" fontId="0" fillId="0" borderId="0" xfId="0" applyFill="1" applyAlignment="1">
      <alignment horizontal="left"/>
    </xf>
    <xf numFmtId="164" fontId="0" fillId="0" borderId="0" xfId="0" applyNumberFormat="1"/>
    <xf numFmtId="164" fontId="2" fillId="0" borderId="0" xfId="0" applyNumberFormat="1" applyFont="1"/>
    <xf numFmtId="165" fontId="7" fillId="0" borderId="2" xfId="1" applyNumberFormat="1" applyFont="1" applyBorder="1"/>
    <xf numFmtId="0" fontId="17" fillId="0" borderId="0" xfId="2" applyFont="1"/>
    <xf numFmtId="0" fontId="18" fillId="0" borderId="0" xfId="0" applyFont="1"/>
    <xf numFmtId="0" fontId="18" fillId="0" borderId="0" xfId="2" applyFont="1"/>
    <xf numFmtId="0" fontId="14" fillId="2" borderId="2" xfId="0" applyFont="1" applyFill="1" applyBorder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3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164" fontId="7" fillId="0" borderId="0" xfId="1" applyNumberFormat="1" applyFont="1"/>
    <xf numFmtId="167" fontId="0" fillId="0" borderId="0" xfId="1" applyNumberFormat="1" applyFont="1"/>
    <xf numFmtId="164" fontId="2" fillId="3" borderId="10" xfId="1" applyNumberFormat="1" applyFont="1" applyFill="1" applyBorder="1"/>
    <xf numFmtId="164" fontId="2" fillId="3" borderId="11" xfId="1" applyNumberFormat="1" applyFont="1" applyFill="1" applyBorder="1"/>
    <xf numFmtId="0" fontId="0" fillId="0" borderId="0" xfId="0" applyFont="1" applyAlignment="1">
      <alignment horizontal="center"/>
    </xf>
    <xf numFmtId="166" fontId="13" fillId="2" borderId="1" xfId="0" applyNumberFormat="1" applyFont="1" applyFill="1" applyBorder="1" applyAlignment="1">
      <alignment horizontal="right"/>
    </xf>
    <xf numFmtId="166" fontId="13" fillId="2" borderId="6" xfId="0" applyNumberFormat="1" applyFont="1" applyFill="1" applyBorder="1" applyAlignment="1">
      <alignment horizontal="right"/>
    </xf>
    <xf numFmtId="166" fontId="13" fillId="2" borderId="7" xfId="0" applyNumberFormat="1" applyFont="1" applyFill="1" applyBorder="1" applyAlignment="1">
      <alignment horizontal="right"/>
    </xf>
    <xf numFmtId="164" fontId="0" fillId="0" borderId="8" xfId="1" applyNumberFormat="1" applyFont="1" applyBorder="1"/>
    <xf numFmtId="164" fontId="0" fillId="0" borderId="0" xfId="1" applyNumberFormat="1" applyFont="1" applyBorder="1"/>
    <xf numFmtId="164" fontId="0" fillId="0" borderId="9" xfId="1" applyNumberFormat="1" applyFont="1" applyBorder="1"/>
    <xf numFmtId="164" fontId="7" fillId="0" borderId="8" xfId="1" applyNumberFormat="1" applyFont="1" applyBorder="1"/>
    <xf numFmtId="164" fontId="7" fillId="0" borderId="0" xfId="1" applyNumberFormat="1" applyFont="1" applyBorder="1"/>
    <xf numFmtId="164" fontId="7" fillId="0" borderId="9" xfId="1" applyNumberFormat="1" applyFont="1" applyBorder="1"/>
    <xf numFmtId="164" fontId="7" fillId="0" borderId="12" xfId="0" applyNumberFormat="1" applyFont="1" applyBorder="1"/>
    <xf numFmtId="164" fontId="7" fillId="0" borderId="13" xfId="0" applyNumberFormat="1" applyFont="1" applyBorder="1"/>
    <xf numFmtId="164" fontId="7" fillId="0" borderId="14" xfId="0" applyNumberFormat="1" applyFont="1" applyBorder="1"/>
    <xf numFmtId="167" fontId="2" fillId="0" borderId="0" xfId="1" applyNumberFormat="1" applyFont="1"/>
    <xf numFmtId="0" fontId="0" fillId="0" borderId="15" xfId="0" applyBorder="1"/>
    <xf numFmtId="166" fontId="20" fillId="2" borderId="2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2" fillId="0" borderId="0" xfId="0" applyNumberFormat="1" applyFont="1" applyFill="1" applyBorder="1" applyAlignment="1">
      <alignment horizontal="left" vertical="top"/>
    </xf>
    <xf numFmtId="0" fontId="0" fillId="0" borderId="0" xfId="0" applyFont="1"/>
    <xf numFmtId="0" fontId="2" fillId="0" borderId="0" xfId="0" applyFont="1" applyFill="1" applyBorder="1" applyAlignment="1">
      <alignment horizontal="left" vertical="top"/>
    </xf>
    <xf numFmtId="0" fontId="0" fillId="0" borderId="0" xfId="0" applyFill="1"/>
    <xf numFmtId="0" fontId="16" fillId="0" borderId="2" xfId="0" applyFont="1" applyFill="1" applyBorder="1"/>
    <xf numFmtId="164" fontId="16" fillId="0" borderId="2" xfId="1" applyNumberFormat="1" applyFont="1" applyFill="1" applyBorder="1"/>
    <xf numFmtId="0" fontId="7" fillId="0" borderId="0" xfId="0" applyFont="1" applyFill="1"/>
    <xf numFmtId="0" fontId="2" fillId="0" borderId="0" xfId="0" applyFont="1" applyFill="1" applyBorder="1"/>
    <xf numFmtId="164" fontId="2" fillId="0" borderId="0" xfId="1" applyNumberFormat="1" applyFont="1" applyFill="1" applyBorder="1"/>
    <xf numFmtId="0" fontId="21" fillId="0" borderId="0" xfId="0" applyFont="1"/>
    <xf numFmtId="164" fontId="7" fillId="0" borderId="0" xfId="0" applyNumberFormat="1" applyFont="1"/>
    <xf numFmtId="164" fontId="7" fillId="0" borderId="1" xfId="0" applyNumberFormat="1" applyFont="1" applyBorder="1"/>
    <xf numFmtId="164" fontId="7" fillId="0" borderId="0" xfId="0" applyNumberFormat="1" applyFont="1" applyBorder="1"/>
    <xf numFmtId="0" fontId="19" fillId="0" borderId="0" xfId="0" applyFont="1" applyBorder="1"/>
    <xf numFmtId="0" fontId="7" fillId="0" borderId="0" xfId="0" applyFont="1" applyBorder="1" applyAlignment="1">
      <alignment horizontal="left" indent="1"/>
    </xf>
    <xf numFmtId="165" fontId="7" fillId="0" borderId="0" xfId="1" applyNumberFormat="1" applyFont="1" applyBorder="1" applyAlignment="1">
      <alignment horizontal="right"/>
    </xf>
    <xf numFmtId="0" fontId="16" fillId="0" borderId="1" xfId="0" applyFont="1" applyBorder="1"/>
    <xf numFmtId="0" fontId="2" fillId="0" borderId="1" xfId="0" applyFont="1" applyBorder="1" applyAlignment="1">
      <alignment horizontal="center"/>
    </xf>
    <xf numFmtId="1" fontId="0" fillId="0" borderId="0" xfId="0" applyNumberFormat="1"/>
    <xf numFmtId="9" fontId="7" fillId="0" borderId="0" xfId="3" applyFont="1" applyBorder="1"/>
    <xf numFmtId="164" fontId="16" fillId="0" borderId="1" xfId="0" applyNumberFormat="1" applyFont="1" applyBorder="1"/>
    <xf numFmtId="165" fontId="2" fillId="3" borderId="2" xfId="1" applyNumberFormat="1" applyFont="1" applyFill="1" applyBorder="1"/>
    <xf numFmtId="165" fontId="1" fillId="0" borderId="0" xfId="1" applyNumberFormat="1" applyFont="1"/>
    <xf numFmtId="164" fontId="16" fillId="0" borderId="0" xfId="0" applyNumberFormat="1" applyFont="1" applyBorder="1"/>
    <xf numFmtId="0" fontId="0" fillId="0" borderId="1" xfId="0" applyBorder="1" applyAlignment="1">
      <alignment horizontal="left"/>
    </xf>
    <xf numFmtId="0" fontId="0" fillId="0" borderId="0" xfId="0" applyFont="1" applyBorder="1"/>
    <xf numFmtId="0" fontId="9" fillId="0" borderId="0" xfId="2" applyBorder="1"/>
    <xf numFmtId="0" fontId="16" fillId="0" borderId="1" xfId="0" applyFont="1" applyBorder="1" applyAlignment="1">
      <alignment horizontal="center"/>
    </xf>
    <xf numFmtId="166" fontId="20" fillId="2" borderId="3" xfId="0" applyNumberFormat="1" applyFont="1" applyFill="1" applyBorder="1" applyAlignment="1">
      <alignment horizontal="center"/>
    </xf>
    <xf numFmtId="166" fontId="20" fillId="2" borderId="4" xfId="0" applyNumberFormat="1" applyFont="1" applyFill="1" applyBorder="1" applyAlignment="1">
      <alignment horizontal="center"/>
    </xf>
    <xf numFmtId="166" fontId="20" fillId="2" borderId="5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9" fillId="0" borderId="1" xfId="2" applyBorder="1" applyAlignment="1">
      <alignment horizontal="center"/>
    </xf>
  </cellXfs>
  <cellStyles count="4">
    <cellStyle name="Comma" xfId="1" builtinId="3"/>
    <cellStyle name="Hyperlink" xfId="2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'Lead-PL'!$A$6</c:f>
              <c:strCache>
                <c:ptCount val="1"/>
                <c:pt idx="0">
                  <c:v>Revenues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'Lead-PL'!$C$5:$E$5</c:f>
              <c:strCache>
                <c:ptCount val="3"/>
                <c:pt idx="0">
                  <c:v>FY17</c:v>
                </c:pt>
                <c:pt idx="1">
                  <c:v>FY18</c:v>
                </c:pt>
                <c:pt idx="2">
                  <c:v>FY19</c:v>
                </c:pt>
              </c:strCache>
            </c:strRef>
          </c:cat>
          <c:val>
            <c:numRef>
              <c:f>'Lead-PL'!$C$6:$E$6</c:f>
              <c:numCache>
                <c:formatCode>#,##0_);\(#,##0\)</c:formatCode>
                <c:ptCount val="3"/>
                <c:pt idx="0">
                  <c:v>6821</c:v>
                </c:pt>
                <c:pt idx="1">
                  <c:v>8163</c:v>
                </c:pt>
                <c:pt idx="2">
                  <c:v>9103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28-4A48-873B-957BAFF78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36081456"/>
        <c:axId val="494638720"/>
      </c:barChart>
      <c:lineChart>
        <c:grouping val="standard"/>
        <c:varyColors val="0"/>
        <c:ser>
          <c:idx val="1"/>
          <c:order val="1"/>
          <c:tx>
            <c:v>Gross margin %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'Lead-PL'!$G$8:$I$8</c:f>
              <c:numCache>
                <c:formatCode>#,##0.0_);\(#,##0.0\)</c:formatCode>
                <c:ptCount val="3"/>
                <c:pt idx="0">
                  <c:v>42.369154082979037</c:v>
                </c:pt>
                <c:pt idx="1">
                  <c:v>39.556535587406586</c:v>
                </c:pt>
                <c:pt idx="2">
                  <c:v>43.941557728221461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28-4A48-873B-957BAFF78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963968"/>
        <c:axId val="556961488"/>
      </c:lineChart>
      <c:catAx>
        <c:axId val="43608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638720"/>
        <c:crosses val="autoZero"/>
        <c:auto val="1"/>
        <c:lblAlgn val="ctr"/>
        <c:lblOffset val="100"/>
        <c:noMultiLvlLbl val="0"/>
      </c:catAx>
      <c:valAx>
        <c:axId val="49463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081456"/>
        <c:crosses val="autoZero"/>
        <c:crossBetween val="between"/>
      </c:valAx>
      <c:valAx>
        <c:axId val="556961488"/>
        <c:scaling>
          <c:orientation val="minMax"/>
        </c:scaling>
        <c:delete val="0"/>
        <c:axPos val="r"/>
        <c:numFmt formatCode="#,##0.0_);\(#,##0.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963968"/>
        <c:crosses val="max"/>
        <c:crossBetween val="between"/>
      </c:valAx>
      <c:catAx>
        <c:axId val="556963968"/>
        <c:scaling>
          <c:orientation val="minMax"/>
        </c:scaling>
        <c:delete val="1"/>
        <c:axPos val="b"/>
        <c:majorTickMark val="out"/>
        <c:minorTickMark val="none"/>
        <c:tickLblPos val="nextTo"/>
        <c:crossAx val="5569614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'CF2'!$A$26</c:f>
              <c:strCache>
                <c:ptCount val="1"/>
                <c:pt idx="0">
                  <c:v>Inventories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'CF2'!$C$25:$AL$25</c:f>
              <c:numCache>
                <c:formatCode>mmmyy</c:formatCode>
                <c:ptCount val="36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</c:numCache>
            </c:numRef>
          </c:cat>
          <c:val>
            <c:numRef>
              <c:f>'CF2'!$C$26:$AL$26</c:f>
              <c:numCache>
                <c:formatCode>#,##0_);\(#,##0\)</c:formatCode>
                <c:ptCount val="36"/>
                <c:pt idx="0">
                  <c:v>485</c:v>
                </c:pt>
                <c:pt idx="1">
                  <c:v>424</c:v>
                </c:pt>
                <c:pt idx="2">
                  <c:v>457</c:v>
                </c:pt>
                <c:pt idx="3">
                  <c:v>476</c:v>
                </c:pt>
                <c:pt idx="4">
                  <c:v>487</c:v>
                </c:pt>
                <c:pt idx="5">
                  <c:v>455</c:v>
                </c:pt>
                <c:pt idx="6">
                  <c:v>488</c:v>
                </c:pt>
                <c:pt idx="7">
                  <c:v>441</c:v>
                </c:pt>
                <c:pt idx="8">
                  <c:v>405</c:v>
                </c:pt>
                <c:pt idx="9">
                  <c:v>400</c:v>
                </c:pt>
                <c:pt idx="10">
                  <c:v>394</c:v>
                </c:pt>
                <c:pt idx="11">
                  <c:v>512</c:v>
                </c:pt>
                <c:pt idx="12">
                  <c:v>557</c:v>
                </c:pt>
                <c:pt idx="13">
                  <c:v>587</c:v>
                </c:pt>
                <c:pt idx="14">
                  <c:v>601</c:v>
                </c:pt>
                <c:pt idx="15">
                  <c:v>569</c:v>
                </c:pt>
                <c:pt idx="16">
                  <c:v>582</c:v>
                </c:pt>
                <c:pt idx="17">
                  <c:v>566</c:v>
                </c:pt>
                <c:pt idx="18">
                  <c:v>617</c:v>
                </c:pt>
                <c:pt idx="19">
                  <c:v>598</c:v>
                </c:pt>
                <c:pt idx="20">
                  <c:v>575</c:v>
                </c:pt>
                <c:pt idx="21">
                  <c:v>572</c:v>
                </c:pt>
                <c:pt idx="22">
                  <c:v>589</c:v>
                </c:pt>
                <c:pt idx="23">
                  <c:v>618</c:v>
                </c:pt>
                <c:pt idx="24">
                  <c:v>637</c:v>
                </c:pt>
                <c:pt idx="25">
                  <c:v>669</c:v>
                </c:pt>
                <c:pt idx="26">
                  <c:v>700</c:v>
                </c:pt>
                <c:pt idx="27">
                  <c:v>685</c:v>
                </c:pt>
                <c:pt idx="28">
                  <c:v>638</c:v>
                </c:pt>
                <c:pt idx="29">
                  <c:v>693</c:v>
                </c:pt>
                <c:pt idx="30">
                  <c:v>669</c:v>
                </c:pt>
                <c:pt idx="31">
                  <c:v>666</c:v>
                </c:pt>
                <c:pt idx="32">
                  <c:v>685</c:v>
                </c:pt>
                <c:pt idx="33">
                  <c:v>618</c:v>
                </c:pt>
                <c:pt idx="34">
                  <c:v>624</c:v>
                </c:pt>
                <c:pt idx="35">
                  <c:v>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01-7641-B05C-93996CBB4597}"/>
            </c:ext>
          </c:extLst>
        </c:ser>
        <c:ser>
          <c:idx val="1"/>
          <c:order val="1"/>
          <c:tx>
            <c:strRef>
              <c:f>'CF2'!$A$27</c:f>
              <c:strCache>
                <c:ptCount val="1"/>
                <c:pt idx="0">
                  <c:v>Trade receivables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'CF2'!$C$25:$AL$25</c:f>
              <c:numCache>
                <c:formatCode>mmmyy</c:formatCode>
                <c:ptCount val="36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</c:numCache>
            </c:numRef>
          </c:cat>
          <c:val>
            <c:numRef>
              <c:f>'CF2'!$C$27:$AL$27</c:f>
              <c:numCache>
                <c:formatCode>#,##0_);\(#,##0\)</c:formatCode>
                <c:ptCount val="36"/>
                <c:pt idx="0">
                  <c:v>333</c:v>
                </c:pt>
                <c:pt idx="1">
                  <c:v>347</c:v>
                </c:pt>
                <c:pt idx="2">
                  <c:v>311</c:v>
                </c:pt>
                <c:pt idx="3">
                  <c:v>303</c:v>
                </c:pt>
                <c:pt idx="4">
                  <c:v>289</c:v>
                </c:pt>
                <c:pt idx="5">
                  <c:v>335</c:v>
                </c:pt>
                <c:pt idx="6">
                  <c:v>308</c:v>
                </c:pt>
                <c:pt idx="7">
                  <c:v>285</c:v>
                </c:pt>
                <c:pt idx="8">
                  <c:v>321</c:v>
                </c:pt>
                <c:pt idx="9">
                  <c:v>287</c:v>
                </c:pt>
                <c:pt idx="10">
                  <c:v>286</c:v>
                </c:pt>
                <c:pt idx="11">
                  <c:v>351</c:v>
                </c:pt>
                <c:pt idx="12">
                  <c:v>355</c:v>
                </c:pt>
                <c:pt idx="13">
                  <c:v>432</c:v>
                </c:pt>
                <c:pt idx="14">
                  <c:v>458</c:v>
                </c:pt>
                <c:pt idx="15">
                  <c:v>388</c:v>
                </c:pt>
                <c:pt idx="16">
                  <c:v>443</c:v>
                </c:pt>
                <c:pt idx="17">
                  <c:v>402</c:v>
                </c:pt>
                <c:pt idx="18">
                  <c:v>441</c:v>
                </c:pt>
                <c:pt idx="19">
                  <c:v>389</c:v>
                </c:pt>
                <c:pt idx="20">
                  <c:v>422</c:v>
                </c:pt>
                <c:pt idx="21">
                  <c:v>433</c:v>
                </c:pt>
                <c:pt idx="22">
                  <c:v>454</c:v>
                </c:pt>
                <c:pt idx="23">
                  <c:v>461</c:v>
                </c:pt>
                <c:pt idx="24">
                  <c:v>453</c:v>
                </c:pt>
                <c:pt idx="25">
                  <c:v>341</c:v>
                </c:pt>
                <c:pt idx="26">
                  <c:v>240</c:v>
                </c:pt>
                <c:pt idx="27">
                  <c:v>379</c:v>
                </c:pt>
                <c:pt idx="28">
                  <c:v>382</c:v>
                </c:pt>
                <c:pt idx="29">
                  <c:v>314</c:v>
                </c:pt>
                <c:pt idx="30">
                  <c:v>281</c:v>
                </c:pt>
                <c:pt idx="31">
                  <c:v>267</c:v>
                </c:pt>
                <c:pt idx="32">
                  <c:v>298</c:v>
                </c:pt>
                <c:pt idx="33">
                  <c:v>461</c:v>
                </c:pt>
                <c:pt idx="34">
                  <c:v>305</c:v>
                </c:pt>
                <c:pt idx="35">
                  <c:v>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01-7641-B05C-93996CBB4597}"/>
            </c:ext>
          </c:extLst>
        </c:ser>
        <c:ser>
          <c:idx val="2"/>
          <c:order val="2"/>
          <c:tx>
            <c:strRef>
              <c:f>'CF2'!$A$28</c:f>
              <c:strCache>
                <c:ptCount val="1"/>
                <c:pt idx="0">
                  <c:v>Trade payables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'CF2'!$C$25:$AL$25</c:f>
              <c:numCache>
                <c:formatCode>mmmyy</c:formatCode>
                <c:ptCount val="36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</c:numCache>
            </c:numRef>
          </c:cat>
          <c:val>
            <c:numRef>
              <c:f>'CF2'!$C$28:$AL$28</c:f>
              <c:numCache>
                <c:formatCode>#,##0_);\(#,##0\)</c:formatCode>
                <c:ptCount val="36"/>
                <c:pt idx="0">
                  <c:v>-208</c:v>
                </c:pt>
                <c:pt idx="1">
                  <c:v>-199</c:v>
                </c:pt>
                <c:pt idx="2">
                  <c:v>-194</c:v>
                </c:pt>
                <c:pt idx="3">
                  <c:v>-226</c:v>
                </c:pt>
                <c:pt idx="4">
                  <c:v>-194</c:v>
                </c:pt>
                <c:pt idx="5">
                  <c:v>-234</c:v>
                </c:pt>
                <c:pt idx="6">
                  <c:v>-225</c:v>
                </c:pt>
                <c:pt idx="7">
                  <c:v>-227</c:v>
                </c:pt>
                <c:pt idx="8">
                  <c:v>-194</c:v>
                </c:pt>
                <c:pt idx="9">
                  <c:v>-181</c:v>
                </c:pt>
                <c:pt idx="10">
                  <c:v>-184</c:v>
                </c:pt>
                <c:pt idx="11">
                  <c:v>-241</c:v>
                </c:pt>
                <c:pt idx="12">
                  <c:v>-281</c:v>
                </c:pt>
                <c:pt idx="13">
                  <c:v>-257</c:v>
                </c:pt>
                <c:pt idx="14">
                  <c:v>-294</c:v>
                </c:pt>
                <c:pt idx="15">
                  <c:v>-270</c:v>
                </c:pt>
                <c:pt idx="16">
                  <c:v>-283</c:v>
                </c:pt>
                <c:pt idx="17">
                  <c:v>-260</c:v>
                </c:pt>
                <c:pt idx="18">
                  <c:v>-299</c:v>
                </c:pt>
                <c:pt idx="19">
                  <c:v>-301</c:v>
                </c:pt>
                <c:pt idx="20">
                  <c:v>-296</c:v>
                </c:pt>
                <c:pt idx="21">
                  <c:v>-243</c:v>
                </c:pt>
                <c:pt idx="22">
                  <c:v>-249</c:v>
                </c:pt>
                <c:pt idx="23">
                  <c:v>-319</c:v>
                </c:pt>
                <c:pt idx="24">
                  <c:v>-414</c:v>
                </c:pt>
                <c:pt idx="25">
                  <c:v>-432</c:v>
                </c:pt>
                <c:pt idx="26">
                  <c:v>-424</c:v>
                </c:pt>
                <c:pt idx="27">
                  <c:v>-360</c:v>
                </c:pt>
                <c:pt idx="28">
                  <c:v>-420</c:v>
                </c:pt>
                <c:pt idx="29">
                  <c:v>-380</c:v>
                </c:pt>
                <c:pt idx="30">
                  <c:v>-400</c:v>
                </c:pt>
                <c:pt idx="31">
                  <c:v>-439</c:v>
                </c:pt>
                <c:pt idx="32">
                  <c:v>-410</c:v>
                </c:pt>
                <c:pt idx="33">
                  <c:v>-348</c:v>
                </c:pt>
                <c:pt idx="34">
                  <c:v>-371</c:v>
                </c:pt>
                <c:pt idx="35">
                  <c:v>-441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01-7641-B05C-93996CBB4597}"/>
            </c:ext>
          </c:extLst>
        </c:ser>
        <c:ser>
          <c:idx val="4"/>
          <c:order val="3"/>
          <c:tx>
            <c:strRef>
              <c:f>'CF2'!$A$30</c:f>
              <c:strCache>
                <c:ptCount val="1"/>
                <c:pt idx="0">
                  <c:v>Payroll liabilities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'CF2'!$C$25:$AL$25</c:f>
              <c:numCache>
                <c:formatCode>mmmyy</c:formatCode>
                <c:ptCount val="36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</c:numCache>
            </c:numRef>
          </c:cat>
          <c:val>
            <c:numRef>
              <c:f>'CF2'!$C$30:$AL$30</c:f>
              <c:numCache>
                <c:formatCode>#,##0_);\(#,##0\)</c:formatCode>
                <c:ptCount val="36"/>
                <c:pt idx="0">
                  <c:v>-55</c:v>
                </c:pt>
                <c:pt idx="1">
                  <c:v>-61</c:v>
                </c:pt>
                <c:pt idx="2">
                  <c:v>-55</c:v>
                </c:pt>
                <c:pt idx="3">
                  <c:v>-53</c:v>
                </c:pt>
                <c:pt idx="4">
                  <c:v>-48</c:v>
                </c:pt>
                <c:pt idx="5">
                  <c:v>-48</c:v>
                </c:pt>
                <c:pt idx="6">
                  <c:v>-55</c:v>
                </c:pt>
                <c:pt idx="7">
                  <c:v>-49</c:v>
                </c:pt>
                <c:pt idx="8">
                  <c:v>-58</c:v>
                </c:pt>
                <c:pt idx="9">
                  <c:v>-56</c:v>
                </c:pt>
                <c:pt idx="10">
                  <c:v>-51</c:v>
                </c:pt>
                <c:pt idx="11">
                  <c:v>-64</c:v>
                </c:pt>
                <c:pt idx="12">
                  <c:v>-65</c:v>
                </c:pt>
                <c:pt idx="13">
                  <c:v>-67</c:v>
                </c:pt>
                <c:pt idx="14">
                  <c:v>-67</c:v>
                </c:pt>
                <c:pt idx="15">
                  <c:v>-72</c:v>
                </c:pt>
                <c:pt idx="16">
                  <c:v>-64</c:v>
                </c:pt>
                <c:pt idx="17">
                  <c:v>-72</c:v>
                </c:pt>
                <c:pt idx="18">
                  <c:v>-72</c:v>
                </c:pt>
                <c:pt idx="19">
                  <c:v>-75</c:v>
                </c:pt>
                <c:pt idx="20">
                  <c:v>-71</c:v>
                </c:pt>
                <c:pt idx="21">
                  <c:v>-64</c:v>
                </c:pt>
                <c:pt idx="22">
                  <c:v>-73</c:v>
                </c:pt>
                <c:pt idx="23">
                  <c:v>-75</c:v>
                </c:pt>
                <c:pt idx="24">
                  <c:v>-75</c:v>
                </c:pt>
                <c:pt idx="25">
                  <c:v>-83</c:v>
                </c:pt>
                <c:pt idx="26">
                  <c:v>-81</c:v>
                </c:pt>
                <c:pt idx="27">
                  <c:v>-81</c:v>
                </c:pt>
                <c:pt idx="28">
                  <c:v>-79</c:v>
                </c:pt>
                <c:pt idx="29">
                  <c:v>-83</c:v>
                </c:pt>
                <c:pt idx="30">
                  <c:v>-77</c:v>
                </c:pt>
                <c:pt idx="31">
                  <c:v>-79</c:v>
                </c:pt>
                <c:pt idx="32">
                  <c:v>-79</c:v>
                </c:pt>
                <c:pt idx="33">
                  <c:v>-79</c:v>
                </c:pt>
                <c:pt idx="34">
                  <c:v>-82</c:v>
                </c:pt>
                <c:pt idx="35">
                  <c:v>-84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A01-7641-B05C-93996CBB4597}"/>
            </c:ext>
          </c:extLst>
        </c:ser>
        <c:ser>
          <c:idx val="5"/>
          <c:order val="4"/>
          <c:tx>
            <c:strRef>
              <c:f>'CF2'!$A$31</c:f>
              <c:strCache>
                <c:ptCount val="1"/>
                <c:pt idx="0">
                  <c:v>Other taxes payables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'CF2'!$C$25:$AL$25</c:f>
              <c:numCache>
                <c:formatCode>mmmyy</c:formatCode>
                <c:ptCount val="36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</c:numCache>
            </c:numRef>
          </c:cat>
          <c:val>
            <c:numRef>
              <c:f>'CF2'!$C$31:$AL$31</c:f>
              <c:numCache>
                <c:formatCode>#,##0_);\(#,##0\)</c:formatCode>
                <c:ptCount val="36"/>
                <c:pt idx="0">
                  <c:v>-43</c:v>
                </c:pt>
                <c:pt idx="1">
                  <c:v>-46</c:v>
                </c:pt>
                <c:pt idx="2">
                  <c:v>-40</c:v>
                </c:pt>
                <c:pt idx="3">
                  <c:v>-45</c:v>
                </c:pt>
                <c:pt idx="4">
                  <c:v>-38</c:v>
                </c:pt>
                <c:pt idx="5">
                  <c:v>-40</c:v>
                </c:pt>
                <c:pt idx="6">
                  <c:v>-35</c:v>
                </c:pt>
                <c:pt idx="7">
                  <c:v>-45</c:v>
                </c:pt>
                <c:pt idx="8">
                  <c:v>-44</c:v>
                </c:pt>
                <c:pt idx="9">
                  <c:v>-42</c:v>
                </c:pt>
                <c:pt idx="10">
                  <c:v>-35</c:v>
                </c:pt>
                <c:pt idx="11">
                  <c:v>-46</c:v>
                </c:pt>
                <c:pt idx="12">
                  <c:v>-45</c:v>
                </c:pt>
                <c:pt idx="13">
                  <c:v>-40</c:v>
                </c:pt>
                <c:pt idx="14">
                  <c:v>-41</c:v>
                </c:pt>
                <c:pt idx="15">
                  <c:v>-42</c:v>
                </c:pt>
                <c:pt idx="16">
                  <c:v>-41</c:v>
                </c:pt>
                <c:pt idx="17">
                  <c:v>-44</c:v>
                </c:pt>
                <c:pt idx="18">
                  <c:v>-42</c:v>
                </c:pt>
                <c:pt idx="19">
                  <c:v>-40</c:v>
                </c:pt>
                <c:pt idx="20">
                  <c:v>-44</c:v>
                </c:pt>
                <c:pt idx="21">
                  <c:v>-39</c:v>
                </c:pt>
                <c:pt idx="22">
                  <c:v>-46</c:v>
                </c:pt>
                <c:pt idx="23">
                  <c:v>-39</c:v>
                </c:pt>
                <c:pt idx="24">
                  <c:v>-40</c:v>
                </c:pt>
                <c:pt idx="25">
                  <c:v>-39</c:v>
                </c:pt>
                <c:pt idx="26">
                  <c:v>-40</c:v>
                </c:pt>
                <c:pt idx="27">
                  <c:v>-40</c:v>
                </c:pt>
                <c:pt idx="28">
                  <c:v>-39</c:v>
                </c:pt>
                <c:pt idx="29">
                  <c:v>-41</c:v>
                </c:pt>
                <c:pt idx="30">
                  <c:v>-41</c:v>
                </c:pt>
                <c:pt idx="31">
                  <c:v>-39</c:v>
                </c:pt>
                <c:pt idx="32">
                  <c:v>-41</c:v>
                </c:pt>
                <c:pt idx="33">
                  <c:v>-39</c:v>
                </c:pt>
                <c:pt idx="34">
                  <c:v>-39</c:v>
                </c:pt>
                <c:pt idx="35">
                  <c:v>-41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A01-7641-B05C-93996CBB4597}"/>
            </c:ext>
          </c:extLst>
        </c:ser>
        <c:ser>
          <c:idx val="6"/>
          <c:order val="5"/>
          <c:tx>
            <c:strRef>
              <c:f>'CF2'!$A$32</c:f>
              <c:strCache>
                <c:ptCount val="1"/>
                <c:pt idx="0">
                  <c:v>Other payables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'CF2'!$C$25:$AL$25</c:f>
              <c:numCache>
                <c:formatCode>mmmyy</c:formatCode>
                <c:ptCount val="36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</c:numCache>
            </c:numRef>
          </c:cat>
          <c:val>
            <c:numRef>
              <c:f>'CF2'!$C$32:$AL$32</c:f>
              <c:numCache>
                <c:formatCode>#,##0_);\(#,##0\)</c:formatCode>
                <c:ptCount val="36"/>
                <c:pt idx="0">
                  <c:v>-168</c:v>
                </c:pt>
                <c:pt idx="1">
                  <c:v>-197</c:v>
                </c:pt>
                <c:pt idx="2">
                  <c:v>-157.69999999999999</c:v>
                </c:pt>
                <c:pt idx="3">
                  <c:v>-177.4</c:v>
                </c:pt>
                <c:pt idx="4">
                  <c:v>-173.1</c:v>
                </c:pt>
                <c:pt idx="5">
                  <c:v>-158.80000000000001</c:v>
                </c:pt>
                <c:pt idx="6">
                  <c:v>-162.5</c:v>
                </c:pt>
                <c:pt idx="7">
                  <c:v>-148.19999999999999</c:v>
                </c:pt>
                <c:pt idx="8">
                  <c:v>-145.9</c:v>
                </c:pt>
                <c:pt idx="9">
                  <c:v>-170.6</c:v>
                </c:pt>
                <c:pt idx="10">
                  <c:v>-170.3</c:v>
                </c:pt>
                <c:pt idx="11">
                  <c:v>-186</c:v>
                </c:pt>
                <c:pt idx="12">
                  <c:v>-270</c:v>
                </c:pt>
                <c:pt idx="13">
                  <c:v>-223</c:v>
                </c:pt>
                <c:pt idx="14">
                  <c:v>-199</c:v>
                </c:pt>
                <c:pt idx="15">
                  <c:v>-219</c:v>
                </c:pt>
                <c:pt idx="16">
                  <c:v>-267</c:v>
                </c:pt>
                <c:pt idx="17">
                  <c:v>-264</c:v>
                </c:pt>
                <c:pt idx="18">
                  <c:v>-212</c:v>
                </c:pt>
                <c:pt idx="19">
                  <c:v>-262</c:v>
                </c:pt>
                <c:pt idx="20">
                  <c:v>-237</c:v>
                </c:pt>
                <c:pt idx="21">
                  <c:v>-166</c:v>
                </c:pt>
                <c:pt idx="22">
                  <c:v>-181</c:v>
                </c:pt>
                <c:pt idx="23">
                  <c:v>-227</c:v>
                </c:pt>
                <c:pt idx="24">
                  <c:v>-247</c:v>
                </c:pt>
                <c:pt idx="25">
                  <c:v>-235</c:v>
                </c:pt>
                <c:pt idx="26">
                  <c:v>-172.5</c:v>
                </c:pt>
                <c:pt idx="27">
                  <c:v>-205</c:v>
                </c:pt>
                <c:pt idx="28">
                  <c:v>-178.5</c:v>
                </c:pt>
                <c:pt idx="29">
                  <c:v>-92</c:v>
                </c:pt>
                <c:pt idx="30">
                  <c:v>-127.5</c:v>
                </c:pt>
                <c:pt idx="31">
                  <c:v>-146</c:v>
                </c:pt>
                <c:pt idx="32">
                  <c:v>-147.5</c:v>
                </c:pt>
                <c:pt idx="33">
                  <c:v>-143</c:v>
                </c:pt>
                <c:pt idx="34">
                  <c:v>-132.5</c:v>
                </c:pt>
                <c:pt idx="35">
                  <c:v>-185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A01-7641-B05C-93996CBB4597}"/>
            </c:ext>
          </c:extLst>
        </c:ser>
        <c:ser>
          <c:idx val="7"/>
          <c:order val="6"/>
          <c:tx>
            <c:strRef>
              <c:f>'CF2'!$A$33</c:f>
              <c:strCache>
                <c:ptCount val="1"/>
                <c:pt idx="0">
                  <c:v>Other receivables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'CF2'!$C$25:$AL$25</c:f>
              <c:numCache>
                <c:formatCode>mmmyy</c:formatCode>
                <c:ptCount val="36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</c:numCache>
            </c:numRef>
          </c:cat>
          <c:val>
            <c:numRef>
              <c:f>'CF2'!$C$33:$AL$33</c:f>
              <c:numCache>
                <c:formatCode>#,##0_);\(#,##0\)</c:formatCode>
                <c:ptCount val="36"/>
                <c:pt idx="0">
                  <c:v>94</c:v>
                </c:pt>
                <c:pt idx="1">
                  <c:v>95</c:v>
                </c:pt>
                <c:pt idx="2">
                  <c:v>93</c:v>
                </c:pt>
                <c:pt idx="3">
                  <c:v>88</c:v>
                </c:pt>
                <c:pt idx="4">
                  <c:v>91</c:v>
                </c:pt>
                <c:pt idx="5">
                  <c:v>103</c:v>
                </c:pt>
                <c:pt idx="6">
                  <c:v>102</c:v>
                </c:pt>
                <c:pt idx="7">
                  <c:v>88</c:v>
                </c:pt>
                <c:pt idx="8">
                  <c:v>103</c:v>
                </c:pt>
                <c:pt idx="9">
                  <c:v>101</c:v>
                </c:pt>
                <c:pt idx="10">
                  <c:v>95</c:v>
                </c:pt>
                <c:pt idx="11">
                  <c:v>103</c:v>
                </c:pt>
                <c:pt idx="12">
                  <c:v>173</c:v>
                </c:pt>
                <c:pt idx="13">
                  <c:v>112</c:v>
                </c:pt>
                <c:pt idx="14">
                  <c:v>119</c:v>
                </c:pt>
                <c:pt idx="15">
                  <c:v>149</c:v>
                </c:pt>
                <c:pt idx="16">
                  <c:v>148</c:v>
                </c:pt>
                <c:pt idx="17">
                  <c:v>120</c:v>
                </c:pt>
                <c:pt idx="18">
                  <c:v>109</c:v>
                </c:pt>
                <c:pt idx="19">
                  <c:v>153</c:v>
                </c:pt>
                <c:pt idx="20">
                  <c:v>117</c:v>
                </c:pt>
                <c:pt idx="21">
                  <c:v>118</c:v>
                </c:pt>
                <c:pt idx="22">
                  <c:v>145</c:v>
                </c:pt>
                <c:pt idx="23">
                  <c:v>173</c:v>
                </c:pt>
                <c:pt idx="24">
                  <c:v>217</c:v>
                </c:pt>
                <c:pt idx="25">
                  <c:v>208</c:v>
                </c:pt>
                <c:pt idx="26">
                  <c:v>173</c:v>
                </c:pt>
                <c:pt idx="27">
                  <c:v>200</c:v>
                </c:pt>
                <c:pt idx="28">
                  <c:v>209</c:v>
                </c:pt>
                <c:pt idx="29">
                  <c:v>219</c:v>
                </c:pt>
                <c:pt idx="30">
                  <c:v>175</c:v>
                </c:pt>
                <c:pt idx="31">
                  <c:v>205</c:v>
                </c:pt>
                <c:pt idx="32">
                  <c:v>197</c:v>
                </c:pt>
                <c:pt idx="33">
                  <c:v>186</c:v>
                </c:pt>
                <c:pt idx="34">
                  <c:v>205</c:v>
                </c:pt>
                <c:pt idx="35">
                  <c:v>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A01-7641-B05C-93996CBB45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5254240"/>
        <c:axId val="555200848"/>
      </c:barChart>
      <c:dateAx>
        <c:axId val="555254240"/>
        <c:scaling>
          <c:orientation val="minMax"/>
        </c:scaling>
        <c:delete val="0"/>
        <c:axPos val="b"/>
        <c:numFmt formatCode="mmmyy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200848"/>
        <c:crosses val="autoZero"/>
        <c:auto val="1"/>
        <c:lblOffset val="100"/>
        <c:baseTimeUnit val="months"/>
      </c:dateAx>
      <c:valAx>
        <c:axId val="55520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254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'CF3'!$C$6</c:f>
              <c:strCache>
                <c:ptCount val="1"/>
                <c:pt idx="0">
                  <c:v>FY17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'CF3'!$A$7:$A$18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'CF3'!$C$7:$C$18</c:f>
              <c:numCache>
                <c:formatCode>#,##0.0_);\(#,##0.0\)</c:formatCode>
                <c:ptCount val="12"/>
                <c:pt idx="0">
                  <c:v>16.794104249365525</c:v>
                </c:pt>
                <c:pt idx="1">
                  <c:v>13.940541781450872</c:v>
                </c:pt>
                <c:pt idx="2">
                  <c:v>16.227634613118784</c:v>
                </c:pt>
                <c:pt idx="3">
                  <c:v>16.295871354045286</c:v>
                </c:pt>
                <c:pt idx="4">
                  <c:v>15.587646802957808</c:v>
                </c:pt>
                <c:pt idx="5">
                  <c:v>12.877186238708438</c:v>
                </c:pt>
                <c:pt idx="6">
                  <c:v>9.3827694303318552</c:v>
                </c:pt>
                <c:pt idx="7">
                  <c:v>13.987840790348626</c:v>
                </c:pt>
                <c:pt idx="8">
                  <c:v>16.242199359082477</c:v>
                </c:pt>
                <c:pt idx="9">
                  <c:v>13.037043549616085</c:v>
                </c:pt>
                <c:pt idx="10">
                  <c:v>15.550239234449762</c:v>
                </c:pt>
                <c:pt idx="11">
                  <c:v>11.354244928625093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27-1C45-9235-453B6887F860}"/>
            </c:ext>
          </c:extLst>
        </c:ser>
        <c:ser>
          <c:idx val="1"/>
          <c:order val="1"/>
          <c:tx>
            <c:strRef>
              <c:f>'CF3'!$D$6</c:f>
              <c:strCache>
                <c:ptCount val="1"/>
                <c:pt idx="0">
                  <c:v>FY18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'CF3'!$A$7:$A$18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'CF3'!$D$7:$D$18</c:f>
              <c:numCache>
                <c:formatCode>#,##0.0_);\(#,##0.0\)</c:formatCode>
                <c:ptCount val="12"/>
                <c:pt idx="0">
                  <c:v>13.822251249717402</c:v>
                </c:pt>
                <c:pt idx="1">
                  <c:v>15.146506386175808</c:v>
                </c:pt>
                <c:pt idx="2">
                  <c:v>20.953364817001184</c:v>
                </c:pt>
                <c:pt idx="3">
                  <c:v>16.847346253491772</c:v>
                </c:pt>
                <c:pt idx="4">
                  <c:v>17.301199354968755</c:v>
                </c:pt>
                <c:pt idx="5">
                  <c:v>16.101683600582117</c:v>
                </c:pt>
                <c:pt idx="6">
                  <c:v>11.756864836043723</c:v>
                </c:pt>
                <c:pt idx="7">
                  <c:v>16.074380165289256</c:v>
                </c:pt>
                <c:pt idx="8">
                  <c:v>16.022679812182808</c:v>
                </c:pt>
                <c:pt idx="9">
                  <c:v>16.410337913834418</c:v>
                </c:pt>
                <c:pt idx="10">
                  <c:v>19.508142715957433</c:v>
                </c:pt>
                <c:pt idx="11">
                  <c:v>12.406243489131191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27-1C45-9235-453B6887F860}"/>
            </c:ext>
          </c:extLst>
        </c:ser>
        <c:ser>
          <c:idx val="2"/>
          <c:order val="2"/>
          <c:tx>
            <c:strRef>
              <c:f>'CF3'!$E$6</c:f>
              <c:strCache>
                <c:ptCount val="1"/>
                <c:pt idx="0">
                  <c:v>FY19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'CF3'!$A$7:$A$18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'CF3'!$E$7:$E$18</c:f>
              <c:numCache>
                <c:formatCode>#,##0.0_);\(#,##0.0\)</c:formatCode>
                <c:ptCount val="12"/>
                <c:pt idx="0">
                  <c:v>13.849385589459358</c:v>
                </c:pt>
                <c:pt idx="1">
                  <c:v>10.341951626355296</c:v>
                </c:pt>
                <c:pt idx="2">
                  <c:v>7.7148812177898529</c:v>
                </c:pt>
                <c:pt idx="3">
                  <c:v>13.08731784801676</c:v>
                </c:pt>
                <c:pt idx="4">
                  <c:v>11.819778815826247</c:v>
                </c:pt>
                <c:pt idx="5">
                  <c:v>9.755794444789661</c:v>
                </c:pt>
                <c:pt idx="6">
                  <c:v>10.809569900478992</c:v>
                </c:pt>
                <c:pt idx="7">
                  <c:v>8.9888250562005201</c:v>
                </c:pt>
                <c:pt idx="8">
                  <c:v>10.420916434507919</c:v>
                </c:pt>
                <c:pt idx="9">
                  <c:v>16.564858066834351</c:v>
                </c:pt>
                <c:pt idx="10">
                  <c:v>9.989410133519657</c:v>
                </c:pt>
                <c:pt idx="11">
                  <c:v>7.3975151880028465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27-1C45-9235-453B6887F8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7135840"/>
        <c:axId val="607137520"/>
      </c:lineChart>
      <c:catAx>
        <c:axId val="60713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137520"/>
        <c:crosses val="autoZero"/>
        <c:auto val="1"/>
        <c:lblAlgn val="ctr"/>
        <c:lblOffset val="100"/>
        <c:noMultiLvlLbl val="0"/>
      </c:catAx>
      <c:valAx>
        <c:axId val="607137520"/>
        <c:scaling>
          <c:orientation val="minMax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135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'CF3'!$C$6</c:f>
              <c:strCache>
                <c:ptCount val="1"/>
                <c:pt idx="0">
                  <c:v>FY17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'CF3'!$A$25:$A$36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'CF3'!$C$25:$C$36</c:f>
              <c:numCache>
                <c:formatCode>#,##0.0_);\(#,##0.0\)</c:formatCode>
                <c:ptCount val="12"/>
                <c:pt idx="0">
                  <c:v>42.713068181818187</c:v>
                </c:pt>
                <c:pt idx="1">
                  <c:v>39.441860465116278</c:v>
                </c:pt>
                <c:pt idx="2">
                  <c:v>45.699999999999996</c:v>
                </c:pt>
                <c:pt idx="3">
                  <c:v>38.910081743869213</c:v>
                </c:pt>
                <c:pt idx="4">
                  <c:v>49.016233766233768</c:v>
                </c:pt>
                <c:pt idx="5">
                  <c:v>35.826771653543311</c:v>
                </c:pt>
                <c:pt idx="6">
                  <c:v>40.341333333333331</c:v>
                </c:pt>
                <c:pt idx="7">
                  <c:v>46.030303030303031</c:v>
                </c:pt>
                <c:pt idx="8">
                  <c:v>32.573726541554961</c:v>
                </c:pt>
                <c:pt idx="9">
                  <c:v>39.743589743589745</c:v>
                </c:pt>
                <c:pt idx="10">
                  <c:v>42.981818181818177</c:v>
                </c:pt>
                <c:pt idx="11">
                  <c:v>56.685714285714283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2F-E343-9FCC-41147E8826D1}"/>
            </c:ext>
          </c:extLst>
        </c:ser>
        <c:ser>
          <c:idx val="1"/>
          <c:order val="1"/>
          <c:tx>
            <c:strRef>
              <c:f>'CF3'!$D$6</c:f>
              <c:strCache>
                <c:ptCount val="1"/>
                <c:pt idx="0">
                  <c:v>FY18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'CF3'!$A$25:$A$36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'CF3'!$D$25:$D$36</c:f>
              <c:numCache>
                <c:formatCode>#,##0.0_);\(#,##0.0\)</c:formatCode>
                <c:ptCount val="12"/>
                <c:pt idx="0">
                  <c:v>43.384422110552762</c:v>
                </c:pt>
                <c:pt idx="1">
                  <c:v>42.802083333333329</c:v>
                </c:pt>
                <c:pt idx="2">
                  <c:v>41.310421286031037</c:v>
                </c:pt>
                <c:pt idx="3">
                  <c:v>41.735941320293399</c:v>
                </c:pt>
                <c:pt idx="4">
                  <c:v>42.652482269503544</c:v>
                </c:pt>
                <c:pt idx="5">
                  <c:v>35.448851774530276</c:v>
                </c:pt>
                <c:pt idx="6">
                  <c:v>44.275462962962962</c:v>
                </c:pt>
                <c:pt idx="7">
                  <c:v>45.21463414634146</c:v>
                </c:pt>
                <c:pt idx="8">
                  <c:v>45.157068062827221</c:v>
                </c:pt>
                <c:pt idx="9">
                  <c:v>40.391799544419136</c:v>
                </c:pt>
                <c:pt idx="10">
                  <c:v>43.955223880597018</c:v>
                </c:pt>
                <c:pt idx="11">
                  <c:v>58.947692307692307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2F-E343-9FCC-41147E8826D1}"/>
            </c:ext>
          </c:extLst>
        </c:ser>
        <c:ser>
          <c:idx val="2"/>
          <c:order val="2"/>
          <c:tx>
            <c:strRef>
              <c:f>'CF3'!$E$6</c:f>
              <c:strCache>
                <c:ptCount val="1"/>
                <c:pt idx="0">
                  <c:v>FY19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'CF3'!$A$25:$A$36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'CF3'!$E$25:$E$36</c:f>
              <c:numCache>
                <c:formatCode>#,##0.0_);\(#,##0.0\)</c:formatCode>
                <c:ptCount val="12"/>
                <c:pt idx="0">
                  <c:v>46.463529411764704</c:v>
                </c:pt>
                <c:pt idx="1">
                  <c:v>47.183879093198989</c:v>
                </c:pt>
                <c:pt idx="2">
                  <c:v>49.543378995433791</c:v>
                </c:pt>
                <c:pt idx="3">
                  <c:v>52.557544757033249</c:v>
                </c:pt>
                <c:pt idx="4">
                  <c:v>46.867298578199048</c:v>
                </c:pt>
                <c:pt idx="5">
                  <c:v>45.995575221238937</c:v>
                </c:pt>
                <c:pt idx="6">
                  <c:v>48.569086651053865</c:v>
                </c:pt>
                <c:pt idx="7">
                  <c:v>47.902552204176331</c:v>
                </c:pt>
                <c:pt idx="8">
                  <c:v>52.157360406091371</c:v>
                </c:pt>
                <c:pt idx="9">
                  <c:v>42.291390728476827</c:v>
                </c:pt>
                <c:pt idx="10">
                  <c:v>42.837528604118994</c:v>
                </c:pt>
                <c:pt idx="11">
                  <c:v>50.623853211009177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2F-E343-9FCC-41147E882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7135840"/>
        <c:axId val="607137520"/>
      </c:lineChart>
      <c:catAx>
        <c:axId val="60713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137520"/>
        <c:crosses val="autoZero"/>
        <c:auto val="1"/>
        <c:lblAlgn val="ctr"/>
        <c:lblOffset val="100"/>
        <c:noMultiLvlLbl val="0"/>
      </c:catAx>
      <c:valAx>
        <c:axId val="607137520"/>
        <c:scaling>
          <c:orientation val="minMax"/>
          <c:min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135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'CF3'!$C$6</c:f>
              <c:strCache>
                <c:ptCount val="1"/>
                <c:pt idx="0">
                  <c:v>FY17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'CF3'!$A$61:$A$72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'CF3'!$C$61:$C$72</c:f>
              <c:numCache>
                <c:formatCode>#,##0.0_);\(#,##0.0\)</c:formatCode>
                <c:ptCount val="12"/>
                <c:pt idx="0">
                  <c:v>46.572886946148003</c:v>
                </c:pt>
                <c:pt idx="1">
                  <c:v>43.149160740598376</c:v>
                </c:pt>
                <c:pt idx="2">
                  <c:v>50.554069547021996</c:v>
                </c:pt>
                <c:pt idx="3">
                  <c:v>40.614010949154171</c:v>
                </c:pt>
                <c:pt idx="4">
                  <c:v>53.045164443879258</c:v>
                </c:pt>
                <c:pt idx="5">
                  <c:v>34.988466420474012</c:v>
                </c:pt>
                <c:pt idx="6">
                  <c:v>36.472464120177008</c:v>
                </c:pt>
                <c:pt idx="7">
                  <c:v>44.084712370408255</c:v>
                </c:pt>
                <c:pt idx="8">
                  <c:v>36.608013831165607</c:v>
                </c:pt>
                <c:pt idx="9">
                  <c:v>42.42976257301693</c:v>
                </c:pt>
                <c:pt idx="10">
                  <c:v>46.620873418684702</c:v>
                </c:pt>
                <c:pt idx="11">
                  <c:v>47.796089819948371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CF-E24A-A141-A5766E7959C3}"/>
            </c:ext>
          </c:extLst>
        </c:ser>
        <c:ser>
          <c:idx val="1"/>
          <c:order val="1"/>
          <c:tx>
            <c:strRef>
              <c:f>'CF3'!$D$6</c:f>
              <c:strCache>
                <c:ptCount val="1"/>
                <c:pt idx="0">
                  <c:v>FY18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'CF3'!$A$61:$A$72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'CF3'!$D$61:$D$72</c:f>
              <c:numCache>
                <c:formatCode>#,##0.0_);\(#,##0.0\)</c:formatCode>
                <c:ptCount val="12"/>
                <c:pt idx="0">
                  <c:v>44.045478563708905</c:v>
                </c:pt>
                <c:pt idx="1">
                  <c:v>46.054374843476076</c:v>
                </c:pt>
                <c:pt idx="2">
                  <c:v>48.078792873354857</c:v>
                </c:pt>
                <c:pt idx="3">
                  <c:v>43.773077671057166</c:v>
                </c:pt>
                <c:pt idx="4">
                  <c:v>45.902493207533347</c:v>
                </c:pt>
                <c:pt idx="5">
                  <c:v>39.568600446235926</c:v>
                </c:pt>
                <c:pt idx="6">
                  <c:v>41.468961680161826</c:v>
                </c:pt>
                <c:pt idx="7">
                  <c:v>46.401813060793103</c:v>
                </c:pt>
                <c:pt idx="8">
                  <c:v>45.014895506713529</c:v>
                </c:pt>
                <c:pt idx="9">
                  <c:v>45.033479925719064</c:v>
                </c:pt>
                <c:pt idx="10">
                  <c:v>51.214252074712654</c:v>
                </c:pt>
                <c:pt idx="11">
                  <c:v>49.675614118501812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CF-E24A-A141-A5766E7959C3}"/>
            </c:ext>
          </c:extLst>
        </c:ser>
        <c:ser>
          <c:idx val="2"/>
          <c:order val="2"/>
          <c:tx>
            <c:strRef>
              <c:f>'CF3'!$E$6</c:f>
              <c:strCache>
                <c:ptCount val="1"/>
                <c:pt idx="0">
                  <c:v>FY19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'CF3'!$A$61:$A$72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'CF3'!$E$61:$E$72</c:f>
              <c:numCache>
                <c:formatCode>#,##0.0_);\(#,##0.0\)</c:formatCode>
                <c:ptCount val="12"/>
                <c:pt idx="0">
                  <c:v>39.836830888776312</c:v>
                </c:pt>
                <c:pt idx="1">
                  <c:v>38.735052120163246</c:v>
                </c:pt>
                <c:pt idx="2">
                  <c:v>35.532640378512902</c:v>
                </c:pt>
                <c:pt idx="3">
                  <c:v>47.27938969412255</c:v>
                </c:pt>
                <c:pt idx="4">
                  <c:v>36.992862517992236</c:v>
                </c:pt>
                <c:pt idx="5">
                  <c:v>35.40258434571372</c:v>
                </c:pt>
                <c:pt idx="6">
                  <c:v>39.93286170466849</c:v>
                </c:pt>
                <c:pt idx="7">
                  <c:v>33.844025952965929</c:v>
                </c:pt>
                <c:pt idx="8">
                  <c:v>40.187771870999399</c:v>
                </c:pt>
                <c:pt idx="9">
                  <c:v>41.776358988148644</c:v>
                </c:pt>
                <c:pt idx="10">
                  <c:v>34.319198078809642</c:v>
                </c:pt>
                <c:pt idx="11">
                  <c:v>34.033370294048083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CF-E24A-A141-A5766E795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7135840"/>
        <c:axId val="607137520"/>
      </c:lineChart>
      <c:catAx>
        <c:axId val="60713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137520"/>
        <c:crosses val="autoZero"/>
        <c:auto val="1"/>
        <c:lblAlgn val="ctr"/>
        <c:lblOffset val="100"/>
        <c:noMultiLvlLbl val="0"/>
      </c:catAx>
      <c:valAx>
        <c:axId val="607137520"/>
        <c:scaling>
          <c:orientation val="minMax"/>
          <c:min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135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'CF3'!$C$6</c:f>
              <c:strCache>
                <c:ptCount val="1"/>
                <c:pt idx="0">
                  <c:v>FY17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'CF3'!$A$43:$A$54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'CF3'!$C$43:$C$54</c:f>
              <c:numCache>
                <c:formatCode>#,##0.0_);\(#,##0.0\)</c:formatCode>
                <c:ptCount val="12"/>
                <c:pt idx="0">
                  <c:v>12.934285485035707</c:v>
                </c:pt>
                <c:pt idx="1">
                  <c:v>10.233241505968778</c:v>
                </c:pt>
                <c:pt idx="2">
                  <c:v>11.37356506609679</c:v>
                </c:pt>
                <c:pt idx="3">
                  <c:v>14.591942148760332</c:v>
                </c:pt>
                <c:pt idx="4">
                  <c:v>11.558716125312319</c:v>
                </c:pt>
                <c:pt idx="5">
                  <c:v>13.715491471777739</c:v>
                </c:pt>
                <c:pt idx="6">
                  <c:v>13.251638643488175</c:v>
                </c:pt>
                <c:pt idx="7">
                  <c:v>15.933431450243408</c:v>
                </c:pt>
                <c:pt idx="8">
                  <c:v>12.207912069471829</c:v>
                </c:pt>
                <c:pt idx="9">
                  <c:v>10.350870720188903</c:v>
                </c:pt>
                <c:pt idx="10">
                  <c:v>11.911183997583239</c:v>
                </c:pt>
                <c:pt idx="11">
                  <c:v>20.243869394391005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F8-7046-9BB3-EF041237E903}"/>
            </c:ext>
          </c:extLst>
        </c:ser>
        <c:ser>
          <c:idx val="1"/>
          <c:order val="1"/>
          <c:tx>
            <c:strRef>
              <c:f>'CF3'!$D$6</c:f>
              <c:strCache>
                <c:ptCount val="1"/>
                <c:pt idx="0">
                  <c:v>FY18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'CF3'!$A$43:$A$54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'CF3'!$D$43:$D$54</c:f>
              <c:numCache>
                <c:formatCode>#,##0.0_);\(#,##0.0\)</c:formatCode>
                <c:ptCount val="12"/>
                <c:pt idx="0">
                  <c:v>13.16119479656126</c:v>
                </c:pt>
                <c:pt idx="1">
                  <c:v>11.894214876033059</c:v>
                </c:pt>
                <c:pt idx="2">
                  <c:v>14.18499322967736</c:v>
                </c:pt>
                <c:pt idx="3">
                  <c:v>14.810209902728005</c:v>
                </c:pt>
                <c:pt idx="4">
                  <c:v>14.051188416938947</c:v>
                </c:pt>
                <c:pt idx="5">
                  <c:v>11.981934928876464</c:v>
                </c:pt>
                <c:pt idx="6">
                  <c:v>14.56336611884486</c:v>
                </c:pt>
                <c:pt idx="7">
                  <c:v>14.887201250837613</c:v>
                </c:pt>
                <c:pt idx="8">
                  <c:v>16.164852368296504</c:v>
                </c:pt>
                <c:pt idx="9">
                  <c:v>11.768657532534487</c:v>
                </c:pt>
                <c:pt idx="10">
                  <c:v>12.249114521841797</c:v>
                </c:pt>
                <c:pt idx="11">
                  <c:v>21.678321678321677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F8-7046-9BB3-EF041237E903}"/>
            </c:ext>
          </c:extLst>
        </c:ser>
        <c:ser>
          <c:idx val="2"/>
          <c:order val="2"/>
          <c:tx>
            <c:strRef>
              <c:f>'CF3'!$E$6</c:f>
              <c:strCache>
                <c:ptCount val="1"/>
                <c:pt idx="0">
                  <c:v>FY19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'CF3'!$A$43:$A$54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'CF3'!$E$43:$E$54</c:f>
              <c:numCache>
                <c:formatCode>#,##0.0_);\(#,##0.0\)</c:formatCode>
                <c:ptCount val="12"/>
                <c:pt idx="0">
                  <c:v>20.476084112447751</c:v>
                </c:pt>
                <c:pt idx="1">
                  <c:v>18.790778599391039</c:v>
                </c:pt>
                <c:pt idx="2">
                  <c:v>21.725619834710741</c:v>
                </c:pt>
                <c:pt idx="3">
                  <c:v>18.365472910927458</c:v>
                </c:pt>
                <c:pt idx="4">
                  <c:v>21.694214876033058</c:v>
                </c:pt>
                <c:pt idx="5">
                  <c:v>20.348785320314871</c:v>
                </c:pt>
                <c:pt idx="6">
                  <c:v>19.445794846864366</c:v>
                </c:pt>
                <c:pt idx="7">
                  <c:v>23.047351307410921</c:v>
                </c:pt>
                <c:pt idx="8">
                  <c:v>22.390504969599885</c:v>
                </c:pt>
                <c:pt idx="9">
                  <c:v>17.079889807162534</c:v>
                </c:pt>
                <c:pt idx="10">
                  <c:v>18.507740658829007</c:v>
                </c:pt>
                <c:pt idx="11">
                  <c:v>23.987998104963943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F8-7046-9BB3-EF041237E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7135840"/>
        <c:axId val="607137520"/>
      </c:lineChart>
      <c:catAx>
        <c:axId val="60713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137520"/>
        <c:crosses val="autoZero"/>
        <c:auto val="1"/>
        <c:lblAlgn val="ctr"/>
        <c:lblOffset val="100"/>
        <c:noMultiLvlLbl val="0"/>
      </c:catAx>
      <c:valAx>
        <c:axId val="607137520"/>
        <c:scaling>
          <c:orientation val="minMax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_);\(#,##0.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135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'FC1'!$A$6</c:f>
              <c:strCache>
                <c:ptCount val="1"/>
                <c:pt idx="0">
                  <c:v>Revenues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'FC1'!$C$5:$K$5</c:f>
              <c:strCache>
                <c:ptCount val="9"/>
                <c:pt idx="0">
                  <c:v>FY17A</c:v>
                </c:pt>
                <c:pt idx="1">
                  <c:v>FY18A</c:v>
                </c:pt>
                <c:pt idx="2">
                  <c:v>FY19A</c:v>
                </c:pt>
                <c:pt idx="3">
                  <c:v>FY20F</c:v>
                </c:pt>
                <c:pt idx="4">
                  <c:v>FY21F</c:v>
                </c:pt>
                <c:pt idx="5">
                  <c:v>FY22F</c:v>
                </c:pt>
                <c:pt idx="6">
                  <c:v>FY23F</c:v>
                </c:pt>
                <c:pt idx="7">
                  <c:v>FY24F</c:v>
                </c:pt>
                <c:pt idx="8">
                  <c:v>FY25F</c:v>
                </c:pt>
              </c:strCache>
            </c:strRef>
          </c:cat>
          <c:val>
            <c:numRef>
              <c:f>'FC1'!$C$6:$K$6</c:f>
              <c:numCache>
                <c:formatCode>#,##0_);\(#,##0\)</c:formatCode>
                <c:ptCount val="9"/>
                <c:pt idx="0">
                  <c:v>6821</c:v>
                </c:pt>
                <c:pt idx="1">
                  <c:v>8163</c:v>
                </c:pt>
                <c:pt idx="2">
                  <c:v>9103</c:v>
                </c:pt>
                <c:pt idx="3">
                  <c:v>9558.15</c:v>
                </c:pt>
                <c:pt idx="4">
                  <c:v>10036.057500000001</c:v>
                </c:pt>
                <c:pt idx="5">
                  <c:v>10537.860375000002</c:v>
                </c:pt>
                <c:pt idx="6">
                  <c:v>11064.753393750003</c:v>
                </c:pt>
                <c:pt idx="7">
                  <c:v>11617.991063437503</c:v>
                </c:pt>
                <c:pt idx="8">
                  <c:v>12198.890616609378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F9-4B47-A5B4-D4749D7FB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43343920"/>
        <c:axId val="561961600"/>
      </c:barChart>
      <c:lineChart>
        <c:grouping val="standard"/>
        <c:varyColors val="0"/>
        <c:ser>
          <c:idx val="1"/>
          <c:order val="1"/>
          <c:tx>
            <c:v>Gross margin in %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'FC1'!$C$26:$K$26</c:f>
              <c:numCache>
                <c:formatCode>#,##0.0_);\(#,##0.0\)</c:formatCode>
                <c:ptCount val="9"/>
                <c:pt idx="0">
                  <c:v>42.369154082979037</c:v>
                </c:pt>
                <c:pt idx="1">
                  <c:v>39.556535587406586</c:v>
                </c:pt>
                <c:pt idx="2">
                  <c:v>43.941557728221461</c:v>
                </c:pt>
                <c:pt idx="3">
                  <c:v>40</c:v>
                </c:pt>
                <c:pt idx="4">
                  <c:v>44.999999999999993</c:v>
                </c:pt>
                <c:pt idx="5">
                  <c:v>44.999999999999993</c:v>
                </c:pt>
                <c:pt idx="6">
                  <c:v>44.999999999999993</c:v>
                </c:pt>
                <c:pt idx="7">
                  <c:v>44.999999999999993</c:v>
                </c:pt>
                <c:pt idx="8">
                  <c:v>44.999999999999993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F9-4B47-A5B4-D4749D7FB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2271248"/>
        <c:axId val="582016240"/>
      </c:lineChart>
      <c:catAx>
        <c:axId val="54334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961600"/>
        <c:crosses val="autoZero"/>
        <c:auto val="1"/>
        <c:lblAlgn val="ctr"/>
        <c:lblOffset val="100"/>
        <c:noMultiLvlLbl val="0"/>
      </c:catAx>
      <c:valAx>
        <c:axId val="56196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343920"/>
        <c:crosses val="autoZero"/>
        <c:crossBetween val="between"/>
      </c:valAx>
      <c:valAx>
        <c:axId val="582016240"/>
        <c:scaling>
          <c:orientation val="minMax"/>
        </c:scaling>
        <c:delete val="0"/>
        <c:axPos val="r"/>
        <c:numFmt formatCode="#,##0.0_);\(#,##0.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71248"/>
        <c:crosses val="max"/>
        <c:crossBetween val="between"/>
      </c:valAx>
      <c:catAx>
        <c:axId val="582271248"/>
        <c:scaling>
          <c:orientation val="minMax"/>
        </c:scaling>
        <c:delete val="1"/>
        <c:axPos val="b"/>
        <c:majorTickMark val="out"/>
        <c:minorTickMark val="none"/>
        <c:tickLblPos val="nextTo"/>
        <c:crossAx val="5820162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'FC3'!$A$10</c:f>
              <c:strCache>
                <c:ptCount val="1"/>
                <c:pt idx="0">
                  <c:v>Free cash flow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'FC3'!$C$5:$K$5</c:f>
              <c:strCache>
                <c:ptCount val="9"/>
                <c:pt idx="0">
                  <c:v>FY17A</c:v>
                </c:pt>
                <c:pt idx="1">
                  <c:v>FY18A</c:v>
                </c:pt>
                <c:pt idx="2">
                  <c:v>FY19A</c:v>
                </c:pt>
                <c:pt idx="3">
                  <c:v>FY20F</c:v>
                </c:pt>
                <c:pt idx="4">
                  <c:v>FY21F</c:v>
                </c:pt>
                <c:pt idx="5">
                  <c:v>FY22F</c:v>
                </c:pt>
                <c:pt idx="6">
                  <c:v>FY23F</c:v>
                </c:pt>
                <c:pt idx="7">
                  <c:v>FY24F</c:v>
                </c:pt>
                <c:pt idx="8">
                  <c:v>FY25F</c:v>
                </c:pt>
              </c:strCache>
            </c:strRef>
          </c:cat>
          <c:val>
            <c:numRef>
              <c:f>'FC3'!$C$10:$K$10</c:f>
              <c:numCache>
                <c:formatCode>#,##0_);\(#,##0\)</c:formatCode>
                <c:ptCount val="9"/>
                <c:pt idx="0">
                  <c:v>336</c:v>
                </c:pt>
                <c:pt idx="1">
                  <c:v>237</c:v>
                </c:pt>
                <c:pt idx="2">
                  <c:v>288</c:v>
                </c:pt>
                <c:pt idx="3">
                  <c:v>127.44500000000016</c:v>
                </c:pt>
                <c:pt idx="4">
                  <c:v>790.85690625000007</c:v>
                </c:pt>
                <c:pt idx="5">
                  <c:v>1043.0397515625</c:v>
                </c:pt>
                <c:pt idx="6">
                  <c:v>1138.6612641406257</c:v>
                </c:pt>
                <c:pt idx="7">
                  <c:v>1299.2704225976565</c:v>
                </c:pt>
                <c:pt idx="8">
                  <c:v>1469.05617493004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F9-8C4E-9230-300C9DAA15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0206720"/>
        <c:axId val="542037200"/>
      </c:barChart>
      <c:lineChart>
        <c:grouping val="standard"/>
        <c:varyColors val="0"/>
        <c:ser>
          <c:idx val="1"/>
          <c:order val="1"/>
          <c:tx>
            <c:strRef>
              <c:f>'FC3'!$A$11</c:f>
              <c:strCache>
                <c:ptCount val="1"/>
                <c:pt idx="0">
                  <c:v>Cash conversion in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'FC3'!$C$11:$K$11</c:f>
              <c:numCache>
                <c:formatCode>#,##0.0_);\(#,##0.0\)</c:formatCode>
                <c:ptCount val="9"/>
                <c:pt idx="0">
                  <c:v>64.244741873804969</c:v>
                </c:pt>
                <c:pt idx="1">
                  <c:v>39.698492462311556</c:v>
                </c:pt>
                <c:pt idx="2">
                  <c:v>25.46419098143236</c:v>
                </c:pt>
                <c:pt idx="3">
                  <c:v>10.009346087994608</c:v>
                </c:pt>
                <c:pt idx="4">
                  <c:v>44.948437059416911</c:v>
                </c:pt>
                <c:pt idx="5">
                  <c:v>57.044410929471702</c:v>
                </c:pt>
                <c:pt idx="6">
                  <c:v>58.133940308444309</c:v>
                </c:pt>
                <c:pt idx="7">
                  <c:v>59.717673686984774</c:v>
                </c:pt>
                <c:pt idx="8">
                  <c:v>61.081664551188389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F9-8C4E-9230-300C9DAA15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4120736"/>
        <c:axId val="584621936"/>
      </c:lineChart>
      <c:catAx>
        <c:axId val="56020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037200"/>
        <c:crosses val="autoZero"/>
        <c:auto val="1"/>
        <c:lblAlgn val="ctr"/>
        <c:lblOffset val="100"/>
        <c:noMultiLvlLbl val="0"/>
      </c:catAx>
      <c:valAx>
        <c:axId val="54203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206720"/>
        <c:crosses val="autoZero"/>
        <c:crossBetween val="between"/>
      </c:valAx>
      <c:valAx>
        <c:axId val="58462193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Cash conversion</a:t>
                </a:r>
                <a:r>
                  <a:rPr lang="en-US" baseline="0"/>
                  <a:t> %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_);\(#,##0.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120736"/>
        <c:crosses val="max"/>
        <c:crossBetween val="between"/>
      </c:valAx>
      <c:catAx>
        <c:axId val="584120736"/>
        <c:scaling>
          <c:orientation val="minMax"/>
        </c:scaling>
        <c:delete val="1"/>
        <c:axPos val="b"/>
        <c:majorTickMark val="out"/>
        <c:minorTickMark val="none"/>
        <c:tickLblPos val="nextTo"/>
        <c:crossAx val="5846219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'PL2'!$I$30</c:f>
              <c:strCache>
                <c:ptCount val="1"/>
                <c:pt idx="0">
                  <c:v>FY19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95-414F-912B-B50AAE0DF2C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95-414F-912B-B50AAE0DF2C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95-414F-912B-B50AAE0DF2C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'PL2'!$A$31:$A$33</c:f>
              <c:strCache>
                <c:ptCount val="3"/>
                <c:pt idx="0">
                  <c:v>Direct</c:v>
                </c:pt>
                <c:pt idx="1">
                  <c:v>Distributors</c:v>
                </c:pt>
                <c:pt idx="2">
                  <c:v>Online</c:v>
                </c:pt>
              </c:strCache>
            </c:strRef>
          </c:cat>
          <c:val>
            <c:numRef>
              <c:f>'PL2'!$I$31:$I$33</c:f>
              <c:numCache>
                <c:formatCode>#,##0.0_);\(#,##0.0\)</c:formatCode>
                <c:ptCount val="3"/>
                <c:pt idx="0">
                  <c:v>62.792485993628475</c:v>
                </c:pt>
                <c:pt idx="1">
                  <c:v>17.378886081511592</c:v>
                </c:pt>
                <c:pt idx="2">
                  <c:v>19.828627924859937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D0-E54F-8F5F-19D04747A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'PL2'!$C$18</c:f>
              <c:strCache>
                <c:ptCount val="1"/>
                <c:pt idx="0">
                  <c:v>FY17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'PL2'!$A$19:$A$24</c:f>
              <c:strCache>
                <c:ptCount val="6"/>
                <c:pt idx="0">
                  <c:v>United States</c:v>
                </c:pt>
                <c:pt idx="1">
                  <c:v>Canada</c:v>
                </c:pt>
                <c:pt idx="2">
                  <c:v>United Kingdom</c:v>
                </c:pt>
                <c:pt idx="3">
                  <c:v>China</c:v>
                </c:pt>
                <c:pt idx="4">
                  <c:v>Germany</c:v>
                </c:pt>
                <c:pt idx="5">
                  <c:v>France</c:v>
                </c:pt>
              </c:strCache>
            </c:strRef>
          </c:cat>
          <c:val>
            <c:numRef>
              <c:f>'PL2'!$C$19:$C$24</c:f>
              <c:numCache>
                <c:formatCode>#,##0_);\(#,##0\)</c:formatCode>
                <c:ptCount val="6"/>
                <c:pt idx="0">
                  <c:v>2859.3799846204552</c:v>
                </c:pt>
                <c:pt idx="1">
                  <c:v>1185.4138196199056</c:v>
                </c:pt>
                <c:pt idx="2">
                  <c:v>1102.2400307590904</c:v>
                </c:pt>
                <c:pt idx="3">
                  <c:v>566.48094034933536</c:v>
                </c:pt>
                <c:pt idx="4">
                  <c:v>652.65198286279247</c:v>
                </c:pt>
                <c:pt idx="5">
                  <c:v>454.83324178842139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4C-824E-BB9F-38C002774F9F}"/>
            </c:ext>
          </c:extLst>
        </c:ser>
        <c:ser>
          <c:idx val="1"/>
          <c:order val="1"/>
          <c:tx>
            <c:strRef>
              <c:f>'PL2'!$D$18</c:f>
              <c:strCache>
                <c:ptCount val="1"/>
                <c:pt idx="0">
                  <c:v>FY18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'PL2'!$A$19:$A$24</c:f>
              <c:strCache>
                <c:ptCount val="6"/>
                <c:pt idx="0">
                  <c:v>United States</c:v>
                </c:pt>
                <c:pt idx="1">
                  <c:v>Canada</c:v>
                </c:pt>
                <c:pt idx="2">
                  <c:v>United Kingdom</c:v>
                </c:pt>
                <c:pt idx="3">
                  <c:v>China</c:v>
                </c:pt>
                <c:pt idx="4">
                  <c:v>Germany</c:v>
                </c:pt>
                <c:pt idx="5">
                  <c:v>France</c:v>
                </c:pt>
              </c:strCache>
            </c:strRef>
          </c:cat>
          <c:val>
            <c:numRef>
              <c:f>'PL2'!$D$19:$D$24</c:f>
              <c:numCache>
                <c:formatCode>#,##0_);\(#,##0\)</c:formatCode>
                <c:ptCount val="6"/>
                <c:pt idx="0">
                  <c:v>3253.9505937545814</c:v>
                </c:pt>
                <c:pt idx="1">
                  <c:v>2162.5188388799293</c:v>
                </c:pt>
                <c:pt idx="2">
                  <c:v>1297.2719542589064</c:v>
                </c:pt>
                <c:pt idx="3">
                  <c:v>623.50432487904993</c:v>
                </c:pt>
                <c:pt idx="4">
                  <c:v>373.38454772027563</c:v>
                </c:pt>
                <c:pt idx="5">
                  <c:v>452.36974050725695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4C-824E-BB9F-38C002774F9F}"/>
            </c:ext>
          </c:extLst>
        </c:ser>
        <c:ser>
          <c:idx val="2"/>
          <c:order val="2"/>
          <c:tx>
            <c:strRef>
              <c:f>'PL2'!$E$18</c:f>
              <c:strCache>
                <c:ptCount val="1"/>
                <c:pt idx="0">
                  <c:v>FY19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'PL2'!$A$19:$A$24</c:f>
              <c:strCache>
                <c:ptCount val="6"/>
                <c:pt idx="0">
                  <c:v>United States</c:v>
                </c:pt>
                <c:pt idx="1">
                  <c:v>Canada</c:v>
                </c:pt>
                <c:pt idx="2">
                  <c:v>United Kingdom</c:v>
                </c:pt>
                <c:pt idx="3">
                  <c:v>China</c:v>
                </c:pt>
                <c:pt idx="4">
                  <c:v>Germany</c:v>
                </c:pt>
                <c:pt idx="5">
                  <c:v>France</c:v>
                </c:pt>
              </c:strCache>
            </c:strRef>
          </c:cat>
          <c:val>
            <c:numRef>
              <c:f>'PL2'!$E$19:$E$24</c:f>
              <c:numCache>
                <c:formatCode>#,##0_);\(#,##0\)</c:formatCode>
                <c:ptCount val="6"/>
                <c:pt idx="0">
                  <c:v>3648.7830454489767</c:v>
                </c:pt>
                <c:pt idx="1">
                  <c:v>2075.3011147862308</c:v>
                </c:pt>
                <c:pt idx="2">
                  <c:v>1408.439176773245</c:v>
                </c:pt>
                <c:pt idx="3">
                  <c:v>700.3165502878843</c:v>
                </c:pt>
                <c:pt idx="4">
                  <c:v>636.75278696557632</c:v>
                </c:pt>
                <c:pt idx="5">
                  <c:v>633.40732573808646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4C-824E-BB9F-38C002774F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3787904"/>
        <c:axId val="593789584"/>
      </c:barChart>
      <c:catAx>
        <c:axId val="593787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789584"/>
        <c:crosses val="autoZero"/>
        <c:auto val="1"/>
        <c:lblAlgn val="ctr"/>
        <c:lblOffset val="100"/>
        <c:noMultiLvlLbl val="0"/>
      </c:catAx>
      <c:valAx>
        <c:axId val="59378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787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'PL2'!$C$6</c:f>
              <c:strCache>
                <c:ptCount val="1"/>
                <c:pt idx="0">
                  <c:v>FY17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'PL2'!$A$7:$A$12</c:f>
              <c:strCache>
                <c:ptCount val="6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Product 5</c:v>
                </c:pt>
                <c:pt idx="5">
                  <c:v>Product 6</c:v>
                </c:pt>
              </c:strCache>
            </c:strRef>
          </c:cat>
          <c:val>
            <c:numRef>
              <c:f>'PL2'!$C$7:$C$12</c:f>
              <c:numCache>
                <c:formatCode>#,##0_);\(#,##0\)</c:formatCode>
                <c:ptCount val="6"/>
                <c:pt idx="0">
                  <c:v>2719</c:v>
                </c:pt>
                <c:pt idx="1">
                  <c:v>1807</c:v>
                </c:pt>
                <c:pt idx="2">
                  <c:v>1084</c:v>
                </c:pt>
                <c:pt idx="3">
                  <c:v>521</c:v>
                </c:pt>
                <c:pt idx="4">
                  <c:v>312</c:v>
                </c:pt>
                <c:pt idx="5">
                  <c:v>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AF-8342-9D24-2D8112A4D073}"/>
            </c:ext>
          </c:extLst>
        </c:ser>
        <c:ser>
          <c:idx val="1"/>
          <c:order val="1"/>
          <c:tx>
            <c:strRef>
              <c:f>'PL2'!$D$6</c:f>
              <c:strCache>
                <c:ptCount val="1"/>
                <c:pt idx="0">
                  <c:v>FY18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'PL2'!$A$7:$A$12</c:f>
              <c:strCache>
                <c:ptCount val="6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Product 5</c:v>
                </c:pt>
                <c:pt idx="5">
                  <c:v>Product 6</c:v>
                </c:pt>
              </c:strCache>
            </c:strRef>
          </c:cat>
          <c:val>
            <c:numRef>
              <c:f>'PL2'!$D$7:$D$12</c:f>
              <c:numCache>
                <c:formatCode>#,##0_);\(#,##0\)</c:formatCode>
                <c:ptCount val="6"/>
                <c:pt idx="0">
                  <c:v>3272</c:v>
                </c:pt>
                <c:pt idx="1">
                  <c:v>1861</c:v>
                </c:pt>
                <c:pt idx="2">
                  <c:v>1263</c:v>
                </c:pt>
                <c:pt idx="3">
                  <c:v>628</c:v>
                </c:pt>
                <c:pt idx="4">
                  <c:v>571</c:v>
                </c:pt>
                <c:pt idx="5">
                  <c:v>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AF-8342-9D24-2D8112A4D073}"/>
            </c:ext>
          </c:extLst>
        </c:ser>
        <c:ser>
          <c:idx val="2"/>
          <c:order val="2"/>
          <c:tx>
            <c:strRef>
              <c:f>'PL2'!$E$6</c:f>
              <c:strCache>
                <c:ptCount val="1"/>
                <c:pt idx="0">
                  <c:v>FY19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'PL2'!$A$7:$A$12</c:f>
              <c:strCache>
                <c:ptCount val="6"/>
                <c:pt idx="0">
                  <c:v>Product 1</c:v>
                </c:pt>
                <c:pt idx="1">
                  <c:v>Product 2</c:v>
                </c:pt>
                <c:pt idx="2">
                  <c:v>Product 3</c:v>
                </c:pt>
                <c:pt idx="3">
                  <c:v>Product 4</c:v>
                </c:pt>
                <c:pt idx="4">
                  <c:v>Product 5</c:v>
                </c:pt>
                <c:pt idx="5">
                  <c:v>Product 6</c:v>
                </c:pt>
              </c:strCache>
            </c:strRef>
          </c:cat>
          <c:val>
            <c:numRef>
              <c:f>'PL2'!$E$7:$E$12</c:f>
              <c:numCache>
                <c:formatCode>#,##0_);\(#,##0\)</c:formatCode>
                <c:ptCount val="6"/>
                <c:pt idx="0">
                  <c:v>3816</c:v>
                </c:pt>
                <c:pt idx="1">
                  <c:v>1582</c:v>
                </c:pt>
                <c:pt idx="2">
                  <c:v>1471</c:v>
                </c:pt>
                <c:pt idx="3">
                  <c:v>756</c:v>
                </c:pt>
                <c:pt idx="4">
                  <c:v>871</c:v>
                </c:pt>
                <c:pt idx="5">
                  <c:v>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AF-8342-9D24-2D8112A4D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2320432"/>
        <c:axId val="591719152"/>
      </c:barChart>
      <c:catAx>
        <c:axId val="59232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719152"/>
        <c:crosses val="autoZero"/>
        <c:auto val="1"/>
        <c:lblAlgn val="ctr"/>
        <c:lblOffset val="100"/>
        <c:noMultiLvlLbl val="0"/>
      </c:catAx>
      <c:valAx>
        <c:axId val="59171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2320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'BS2'!$A$6</c:f>
              <c:strCache>
                <c:ptCount val="1"/>
                <c:pt idx="0">
                  <c:v>Product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3"/>
              <c:pt idx="0">
                <c:v>Dec17</c:v>
              </c:pt>
              <c:pt idx="1">
                <c:v> Dec18</c:v>
              </c:pt>
              <c:pt idx="2">
                <c:v> Dec19</c:v>
              </c:pt>
            </c:strLit>
          </c:cat>
          <c:val>
            <c:numRef>
              <c:f>'BS2'!$C$6:$E$6</c:f>
              <c:numCache>
                <c:formatCode>#,##0_);\(#,##0\)</c:formatCode>
                <c:ptCount val="3"/>
                <c:pt idx="0">
                  <c:v>138</c:v>
                </c:pt>
                <c:pt idx="1">
                  <c:v>162</c:v>
                </c:pt>
                <c:pt idx="2">
                  <c:v>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D1-B04D-9D1F-3CF371151220}"/>
            </c:ext>
          </c:extLst>
        </c:ser>
        <c:ser>
          <c:idx val="1"/>
          <c:order val="1"/>
          <c:tx>
            <c:strRef>
              <c:f>'BS2'!$A$7</c:f>
              <c:strCache>
                <c:ptCount val="1"/>
                <c:pt idx="0">
                  <c:v>Product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3"/>
              <c:pt idx="0">
                <c:v>Dec17</c:v>
              </c:pt>
              <c:pt idx="1">
                <c:v> Dec18</c:v>
              </c:pt>
              <c:pt idx="2">
                <c:v> Dec19</c:v>
              </c:pt>
            </c:strLit>
          </c:cat>
          <c:val>
            <c:numRef>
              <c:f>'BS2'!$C$7:$E$7</c:f>
              <c:numCache>
                <c:formatCode>#,##0_);\(#,##0\)</c:formatCode>
                <c:ptCount val="3"/>
                <c:pt idx="0">
                  <c:v>64</c:v>
                </c:pt>
                <c:pt idx="1">
                  <c:v>175</c:v>
                </c:pt>
                <c:pt idx="2">
                  <c:v>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D1-B04D-9D1F-3CF371151220}"/>
            </c:ext>
          </c:extLst>
        </c:ser>
        <c:ser>
          <c:idx val="2"/>
          <c:order val="2"/>
          <c:tx>
            <c:strRef>
              <c:f>'BS2'!$A$8</c:f>
              <c:strCache>
                <c:ptCount val="1"/>
                <c:pt idx="0">
                  <c:v>Product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Lit>
              <c:ptCount val="3"/>
              <c:pt idx="0">
                <c:v>Dec17</c:v>
              </c:pt>
              <c:pt idx="1">
                <c:v> Dec18</c:v>
              </c:pt>
              <c:pt idx="2">
                <c:v> Dec19</c:v>
              </c:pt>
            </c:strLit>
          </c:cat>
          <c:val>
            <c:numRef>
              <c:f>'BS2'!$C$8:$E$8</c:f>
              <c:numCache>
                <c:formatCode>#,##0_);\(#,##0\)</c:formatCode>
                <c:ptCount val="3"/>
                <c:pt idx="0">
                  <c:v>48</c:v>
                </c:pt>
                <c:pt idx="1">
                  <c:v>185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D1-B04D-9D1F-3CF371151220}"/>
            </c:ext>
          </c:extLst>
        </c:ser>
        <c:ser>
          <c:idx val="3"/>
          <c:order val="3"/>
          <c:tx>
            <c:strRef>
              <c:f>'BS2'!$A$9</c:f>
              <c:strCache>
                <c:ptCount val="1"/>
                <c:pt idx="0">
                  <c:v>Product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Lit>
              <c:ptCount val="3"/>
              <c:pt idx="0">
                <c:v>Dec17</c:v>
              </c:pt>
              <c:pt idx="1">
                <c:v> Dec18</c:v>
              </c:pt>
              <c:pt idx="2">
                <c:v> Dec19</c:v>
              </c:pt>
            </c:strLit>
          </c:cat>
          <c:val>
            <c:numRef>
              <c:f>'BS2'!$C$9:$E$9</c:f>
              <c:numCache>
                <c:formatCode>#,##0_);\(#,##0\)</c:formatCode>
                <c:ptCount val="3"/>
                <c:pt idx="0">
                  <c:v>172</c:v>
                </c:pt>
                <c:pt idx="1">
                  <c:v>63</c:v>
                </c:pt>
                <c:pt idx="2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D1-B04D-9D1F-3CF371151220}"/>
            </c:ext>
          </c:extLst>
        </c:ser>
        <c:ser>
          <c:idx val="4"/>
          <c:order val="4"/>
          <c:tx>
            <c:strRef>
              <c:f>'BS2'!$A$10</c:f>
              <c:strCache>
                <c:ptCount val="1"/>
                <c:pt idx="0">
                  <c:v>Product 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Lit>
              <c:ptCount val="3"/>
              <c:pt idx="0">
                <c:v>Dec17</c:v>
              </c:pt>
              <c:pt idx="1">
                <c:v> Dec18</c:v>
              </c:pt>
              <c:pt idx="2">
                <c:v> Dec19</c:v>
              </c:pt>
            </c:strLit>
          </c:cat>
          <c:val>
            <c:numRef>
              <c:f>'BS2'!$C$10:$E$10</c:f>
              <c:numCache>
                <c:formatCode>#,##0_);\(#,##0\)</c:formatCode>
                <c:ptCount val="3"/>
                <c:pt idx="0">
                  <c:v>90</c:v>
                </c:pt>
                <c:pt idx="1">
                  <c:v>33</c:v>
                </c:pt>
                <c:pt idx="2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D1-B04D-9D1F-3CF3711512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4599904"/>
        <c:axId val="471381712"/>
      </c:barChart>
      <c:catAx>
        <c:axId val="494599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381712"/>
        <c:crosses val="autoZero"/>
        <c:auto val="1"/>
        <c:lblAlgn val="ctr"/>
        <c:lblOffset val="100"/>
        <c:noMultiLvlLbl val="0"/>
      </c:catAx>
      <c:valAx>
        <c:axId val="47138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599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'BS3'!$A$6</c:f>
              <c:strCache>
                <c:ptCount val="1"/>
                <c:pt idx="0">
                  <c:v>Not due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3"/>
              <c:pt idx="0">
                <c:v>Dec17</c:v>
              </c:pt>
              <c:pt idx="1">
                <c:v> Dec18</c:v>
              </c:pt>
              <c:pt idx="2">
                <c:v> Dec19</c:v>
              </c:pt>
            </c:strLit>
          </c:cat>
          <c:val>
            <c:numRef>
              <c:f>'BS3'!$C$6:$E$6</c:f>
              <c:numCache>
                <c:formatCode>#,##0_);\(#,##0\)</c:formatCode>
                <c:ptCount val="3"/>
                <c:pt idx="0">
                  <c:v>162</c:v>
                </c:pt>
                <c:pt idx="1">
                  <c:v>251</c:v>
                </c:pt>
                <c:pt idx="2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8E-144D-9585-27B44ADFC6F4}"/>
            </c:ext>
          </c:extLst>
        </c:ser>
        <c:ser>
          <c:idx val="1"/>
          <c:order val="1"/>
          <c:tx>
            <c:strRef>
              <c:f>'BS3'!$A$7</c:f>
              <c:strCache>
                <c:ptCount val="1"/>
                <c:pt idx="0">
                  <c:v>&lt; 30 days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3"/>
              <c:pt idx="0">
                <c:v>Dec17</c:v>
              </c:pt>
              <c:pt idx="1">
                <c:v> Dec18</c:v>
              </c:pt>
              <c:pt idx="2">
                <c:v> Dec19</c:v>
              </c:pt>
            </c:strLit>
          </c:cat>
          <c:val>
            <c:numRef>
              <c:f>'BS3'!$C$7:$E$7</c:f>
              <c:numCache>
                <c:formatCode>#,##0_);\(#,##0\)</c:formatCode>
                <c:ptCount val="3"/>
                <c:pt idx="0">
                  <c:v>95</c:v>
                </c:pt>
                <c:pt idx="1">
                  <c:v>99</c:v>
                </c:pt>
                <c:pt idx="2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8E-144D-9585-27B44ADFC6F4}"/>
            </c:ext>
          </c:extLst>
        </c:ser>
        <c:ser>
          <c:idx val="2"/>
          <c:order val="2"/>
          <c:tx>
            <c:strRef>
              <c:f>'BS3'!$A$8</c:f>
              <c:strCache>
                <c:ptCount val="1"/>
                <c:pt idx="0">
                  <c:v>31 - 60 days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Lit>
              <c:ptCount val="3"/>
              <c:pt idx="0">
                <c:v>Dec17</c:v>
              </c:pt>
              <c:pt idx="1">
                <c:v> Dec18</c:v>
              </c:pt>
              <c:pt idx="2">
                <c:v> Dec19</c:v>
              </c:pt>
            </c:strLit>
          </c:cat>
          <c:val>
            <c:numRef>
              <c:f>'BS3'!$C$8:$E$8</c:f>
              <c:numCache>
                <c:formatCode>#,##0_);\(#,##0\)</c:formatCode>
                <c:ptCount val="3"/>
                <c:pt idx="0">
                  <c:v>53</c:v>
                </c:pt>
                <c:pt idx="1">
                  <c:v>71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8E-144D-9585-27B44ADFC6F4}"/>
            </c:ext>
          </c:extLst>
        </c:ser>
        <c:ser>
          <c:idx val="3"/>
          <c:order val="3"/>
          <c:tx>
            <c:strRef>
              <c:f>'BS3'!$A$9</c:f>
              <c:strCache>
                <c:ptCount val="1"/>
                <c:pt idx="0">
                  <c:v>61 - 90 days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Lit>
              <c:ptCount val="3"/>
              <c:pt idx="0">
                <c:v>Dec17</c:v>
              </c:pt>
              <c:pt idx="1">
                <c:v> Dec18</c:v>
              </c:pt>
              <c:pt idx="2">
                <c:v> Dec19</c:v>
              </c:pt>
            </c:strLit>
          </c:cat>
          <c:val>
            <c:numRef>
              <c:f>'BS3'!$C$9:$E$9</c:f>
              <c:numCache>
                <c:formatCode>#,##0_);\(#,##0\)</c:formatCode>
                <c:ptCount val="3"/>
                <c:pt idx="0">
                  <c:v>15</c:v>
                </c:pt>
                <c:pt idx="1">
                  <c:v>17</c:v>
                </c:pt>
                <c:pt idx="2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8E-144D-9585-27B44ADFC6F4}"/>
            </c:ext>
          </c:extLst>
        </c:ser>
        <c:ser>
          <c:idx val="4"/>
          <c:order val="4"/>
          <c:tx>
            <c:strRef>
              <c:f>'BS3'!$A$10</c:f>
              <c:strCache>
                <c:ptCount val="1"/>
                <c:pt idx="0">
                  <c:v>91 - 120 days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Lit>
              <c:ptCount val="3"/>
              <c:pt idx="0">
                <c:v>Dec17</c:v>
              </c:pt>
              <c:pt idx="1">
                <c:v> Dec18</c:v>
              </c:pt>
              <c:pt idx="2">
                <c:v> Dec19</c:v>
              </c:pt>
            </c:strLit>
          </c:cat>
          <c:val>
            <c:numRef>
              <c:f>'BS3'!$C$10:$E$10</c:f>
              <c:numCache>
                <c:formatCode>#,##0_);\(#,##0\)</c:formatCode>
                <c:ptCount val="3"/>
                <c:pt idx="0">
                  <c:v>8</c:v>
                </c:pt>
                <c:pt idx="1">
                  <c:v>5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8E-144D-9585-27B44ADFC6F4}"/>
            </c:ext>
          </c:extLst>
        </c:ser>
        <c:ser>
          <c:idx val="5"/>
          <c:order val="5"/>
          <c:tx>
            <c:strRef>
              <c:f>'BS3'!$A$11</c:f>
              <c:strCache>
                <c:ptCount val="1"/>
                <c:pt idx="0">
                  <c:v>&gt; 120 days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Lit>
              <c:ptCount val="3"/>
              <c:pt idx="0">
                <c:v>Dec17</c:v>
              </c:pt>
              <c:pt idx="1">
                <c:v> Dec18</c:v>
              </c:pt>
              <c:pt idx="2">
                <c:v> Dec19</c:v>
              </c:pt>
            </c:strLit>
          </c:cat>
          <c:val>
            <c:numRef>
              <c:f>'BS3'!$C$11:$E$11</c:f>
              <c:numCache>
                <c:formatCode>#,##0_);\(#,##0\)</c:formatCode>
                <c:ptCount val="3"/>
                <c:pt idx="0">
                  <c:v>18</c:v>
                </c:pt>
                <c:pt idx="1">
                  <c:v>18</c:v>
                </c:pt>
                <c:pt idx="2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38E-144D-9585-27B44ADFC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6453936"/>
        <c:axId val="470289456"/>
      </c:barChart>
      <c:catAx>
        <c:axId val="47645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289456"/>
        <c:crosses val="autoZero"/>
        <c:auto val="1"/>
        <c:lblAlgn val="ctr"/>
        <c:lblOffset val="100"/>
        <c:noMultiLvlLbl val="0"/>
      </c:catAx>
      <c:valAx>
        <c:axId val="47028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453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'BS4'!$A$6</c:f>
              <c:strCache>
                <c:ptCount val="1"/>
                <c:pt idx="0">
                  <c:v>Not due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3"/>
              <c:pt idx="0">
                <c:v>Dec17</c:v>
              </c:pt>
              <c:pt idx="1">
                <c:v> Dec18</c:v>
              </c:pt>
              <c:pt idx="2">
                <c:v> Dec19</c:v>
              </c:pt>
            </c:strLit>
          </c:cat>
          <c:val>
            <c:numRef>
              <c:f>'BS4'!$C$6:$E$6</c:f>
              <c:numCache>
                <c:formatCode>#,##0_);\(#,##0\)</c:formatCode>
                <c:ptCount val="3"/>
                <c:pt idx="0">
                  <c:v>110</c:v>
                </c:pt>
                <c:pt idx="1">
                  <c:v>175</c:v>
                </c:pt>
                <c:pt idx="2">
                  <c:v>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3E-6941-99E4-2422A140BE6D}"/>
            </c:ext>
          </c:extLst>
        </c:ser>
        <c:ser>
          <c:idx val="1"/>
          <c:order val="1"/>
          <c:tx>
            <c:strRef>
              <c:f>'BS4'!$A$7</c:f>
              <c:strCache>
                <c:ptCount val="1"/>
                <c:pt idx="0">
                  <c:v>&lt; 30 days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3"/>
              <c:pt idx="0">
                <c:v>Dec17</c:v>
              </c:pt>
              <c:pt idx="1">
                <c:v> Dec18</c:v>
              </c:pt>
              <c:pt idx="2">
                <c:v> Dec19</c:v>
              </c:pt>
            </c:strLit>
          </c:cat>
          <c:val>
            <c:numRef>
              <c:f>'BS4'!$C$7:$E$7</c:f>
              <c:numCache>
                <c:formatCode>#,##0_);\(#,##0\)</c:formatCode>
                <c:ptCount val="3"/>
                <c:pt idx="0">
                  <c:v>54</c:v>
                </c:pt>
                <c:pt idx="1">
                  <c:v>86</c:v>
                </c:pt>
                <c:pt idx="2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3E-6941-99E4-2422A140BE6D}"/>
            </c:ext>
          </c:extLst>
        </c:ser>
        <c:ser>
          <c:idx val="2"/>
          <c:order val="2"/>
          <c:tx>
            <c:strRef>
              <c:f>'BS4'!$A$8</c:f>
              <c:strCache>
                <c:ptCount val="1"/>
                <c:pt idx="0">
                  <c:v>31 - 60 days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Lit>
              <c:ptCount val="3"/>
              <c:pt idx="0">
                <c:v>Dec17</c:v>
              </c:pt>
              <c:pt idx="1">
                <c:v> Dec18</c:v>
              </c:pt>
              <c:pt idx="2">
                <c:v> Dec19</c:v>
              </c:pt>
            </c:strLit>
          </c:cat>
          <c:val>
            <c:numRef>
              <c:f>'BS4'!$C$8:$E$8</c:f>
              <c:numCache>
                <c:formatCode>#,##0_);\(#,##0\)</c:formatCode>
                <c:ptCount val="3"/>
                <c:pt idx="0">
                  <c:v>33</c:v>
                </c:pt>
                <c:pt idx="1">
                  <c:v>27</c:v>
                </c:pt>
                <c:pt idx="2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3E-6941-99E4-2422A140BE6D}"/>
            </c:ext>
          </c:extLst>
        </c:ser>
        <c:ser>
          <c:idx val="3"/>
          <c:order val="3"/>
          <c:tx>
            <c:strRef>
              <c:f>'BS4'!$A$9</c:f>
              <c:strCache>
                <c:ptCount val="1"/>
                <c:pt idx="0">
                  <c:v>61 - 90 days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Lit>
              <c:ptCount val="3"/>
              <c:pt idx="0">
                <c:v>Dec17</c:v>
              </c:pt>
              <c:pt idx="1">
                <c:v> Dec18</c:v>
              </c:pt>
              <c:pt idx="2">
                <c:v> Dec19</c:v>
              </c:pt>
            </c:strLit>
          </c:cat>
          <c:val>
            <c:numRef>
              <c:f>'BS4'!$C$9:$E$9</c:f>
              <c:numCache>
                <c:formatCode>#,##0_);\(#,##0\)</c:formatCode>
                <c:ptCount val="3"/>
                <c:pt idx="0">
                  <c:v>14</c:v>
                </c:pt>
                <c:pt idx="1">
                  <c:v>4</c:v>
                </c:pt>
                <c:pt idx="2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3E-6941-99E4-2422A140BE6D}"/>
            </c:ext>
          </c:extLst>
        </c:ser>
        <c:ser>
          <c:idx val="4"/>
          <c:order val="4"/>
          <c:tx>
            <c:strRef>
              <c:f>'BS4'!$A$10</c:f>
              <c:strCache>
                <c:ptCount val="1"/>
                <c:pt idx="0">
                  <c:v>91 - 120 days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Lit>
              <c:ptCount val="3"/>
              <c:pt idx="0">
                <c:v>Dec17</c:v>
              </c:pt>
              <c:pt idx="1">
                <c:v> Dec18</c:v>
              </c:pt>
              <c:pt idx="2">
                <c:v> Dec19</c:v>
              </c:pt>
            </c:strLit>
          </c:cat>
          <c:val>
            <c:numRef>
              <c:f>'BS4'!$C$10:$E$10</c:f>
              <c:numCache>
                <c:formatCode>#,##0_);\(#,##0\)</c:formatCode>
                <c:ptCount val="3"/>
                <c:pt idx="0">
                  <c:v>9</c:v>
                </c:pt>
                <c:pt idx="1">
                  <c:v>12</c:v>
                </c:pt>
                <c:pt idx="2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3E-6941-99E4-2422A140BE6D}"/>
            </c:ext>
          </c:extLst>
        </c:ser>
        <c:ser>
          <c:idx val="5"/>
          <c:order val="5"/>
          <c:tx>
            <c:strRef>
              <c:f>'BS4'!$A$11</c:f>
              <c:strCache>
                <c:ptCount val="1"/>
                <c:pt idx="0">
                  <c:v>&gt; 120 days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Lit>
              <c:ptCount val="3"/>
              <c:pt idx="0">
                <c:v>Dec17</c:v>
              </c:pt>
              <c:pt idx="1">
                <c:v> Dec18</c:v>
              </c:pt>
              <c:pt idx="2">
                <c:v> Dec19</c:v>
              </c:pt>
            </c:strLit>
          </c:cat>
          <c:val>
            <c:numRef>
              <c:f>'BS4'!$C$11:$E$11</c:f>
              <c:numCache>
                <c:formatCode>#,##0_);\(#,##0\)</c:formatCode>
                <c:ptCount val="3"/>
                <c:pt idx="0">
                  <c:v>21</c:v>
                </c:pt>
                <c:pt idx="1">
                  <c:v>15</c:v>
                </c:pt>
                <c:pt idx="2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D3E-6941-99E4-2422A140BE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5781344"/>
        <c:axId val="434661136"/>
      </c:barChart>
      <c:catAx>
        <c:axId val="55578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661136"/>
        <c:crosses val="autoZero"/>
        <c:auto val="1"/>
        <c:lblAlgn val="ctr"/>
        <c:lblOffset val="100"/>
        <c:noMultiLvlLbl val="0"/>
      </c:catAx>
      <c:valAx>
        <c:axId val="43466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781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'CF1'!$A$15</c:f>
              <c:strCache>
                <c:ptCount val="1"/>
                <c:pt idx="0">
                  <c:v>Maintenance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'CF1'!$C$5:$E$5</c:f>
              <c:strCache>
                <c:ptCount val="3"/>
                <c:pt idx="0">
                  <c:v>FY17</c:v>
                </c:pt>
                <c:pt idx="1">
                  <c:v>FY18</c:v>
                </c:pt>
                <c:pt idx="2">
                  <c:v>FY19</c:v>
                </c:pt>
              </c:strCache>
            </c:strRef>
          </c:cat>
          <c:val>
            <c:numRef>
              <c:f>'CF1'!$C$15:$E$15</c:f>
              <c:numCache>
                <c:formatCode>#,##0_);\(#,##0\)</c:formatCode>
                <c:ptCount val="3"/>
                <c:pt idx="0">
                  <c:v>156</c:v>
                </c:pt>
                <c:pt idx="1">
                  <c:v>164</c:v>
                </c:pt>
                <c:pt idx="2">
                  <c:v>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83-6C49-8E7D-0520E7AEC940}"/>
            </c:ext>
          </c:extLst>
        </c:ser>
        <c:ser>
          <c:idx val="1"/>
          <c:order val="1"/>
          <c:tx>
            <c:strRef>
              <c:f>'CF1'!$A$16</c:f>
              <c:strCache>
                <c:ptCount val="1"/>
                <c:pt idx="0">
                  <c:v>Expansion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'CF1'!$C$5:$E$5</c:f>
              <c:strCache>
                <c:ptCount val="3"/>
                <c:pt idx="0">
                  <c:v>FY17</c:v>
                </c:pt>
                <c:pt idx="1">
                  <c:v>FY18</c:v>
                </c:pt>
                <c:pt idx="2">
                  <c:v>FY19</c:v>
                </c:pt>
              </c:strCache>
            </c:strRef>
          </c:cat>
          <c:val>
            <c:numRef>
              <c:f>'CF1'!$C$16:$E$16</c:f>
              <c:numCache>
                <c:formatCode>#,##0_);\(#,##0\)</c:formatCode>
                <c:ptCount val="3"/>
                <c:pt idx="0">
                  <c:v>40</c:v>
                </c:pt>
                <c:pt idx="1">
                  <c:v>18</c:v>
                </c:pt>
                <c:pt idx="2">
                  <c:v>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83-6C49-8E7D-0520E7AEC9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329424"/>
        <c:axId val="560352624"/>
      </c:barChart>
      <c:catAx>
        <c:axId val="55632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352624"/>
        <c:crosses val="autoZero"/>
        <c:auto val="1"/>
        <c:lblAlgn val="ctr"/>
        <c:lblOffset val="100"/>
        <c:noMultiLvlLbl val="0"/>
      </c:catAx>
      <c:valAx>
        <c:axId val="56035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329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'CF2'!$A$34</c:f>
              <c:strCache>
                <c:ptCount val="1"/>
                <c:pt idx="0">
                  <c:v>Recast net working capital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'CF2'!$C$25:$AL$25</c:f>
              <c:numCache>
                <c:formatCode>mmmyy</c:formatCode>
                <c:ptCount val="36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</c:numCache>
            </c:numRef>
          </c:cat>
          <c:val>
            <c:numRef>
              <c:f>'CF2'!$C$34:$AL$34</c:f>
              <c:numCache>
                <c:formatCode>#,##0_);\(#,##0\)</c:formatCode>
                <c:ptCount val="36"/>
                <c:pt idx="0">
                  <c:v>438</c:v>
                </c:pt>
                <c:pt idx="1">
                  <c:v>363</c:v>
                </c:pt>
                <c:pt idx="2">
                  <c:v>414.3</c:v>
                </c:pt>
                <c:pt idx="3">
                  <c:v>365.6</c:v>
                </c:pt>
                <c:pt idx="4">
                  <c:v>413.9</c:v>
                </c:pt>
                <c:pt idx="5">
                  <c:v>412.2</c:v>
                </c:pt>
                <c:pt idx="6">
                  <c:v>420.5</c:v>
                </c:pt>
                <c:pt idx="7">
                  <c:v>344.8</c:v>
                </c:pt>
                <c:pt idx="8">
                  <c:v>387.1</c:v>
                </c:pt>
                <c:pt idx="9">
                  <c:v>338.4</c:v>
                </c:pt>
                <c:pt idx="10">
                  <c:v>334.7</c:v>
                </c:pt>
                <c:pt idx="11">
                  <c:v>429</c:v>
                </c:pt>
                <c:pt idx="12">
                  <c:v>424</c:v>
                </c:pt>
                <c:pt idx="13">
                  <c:v>544</c:v>
                </c:pt>
                <c:pt idx="14">
                  <c:v>577</c:v>
                </c:pt>
                <c:pt idx="15">
                  <c:v>503</c:v>
                </c:pt>
                <c:pt idx="16">
                  <c:v>518</c:v>
                </c:pt>
                <c:pt idx="17">
                  <c:v>448</c:v>
                </c:pt>
                <c:pt idx="18">
                  <c:v>542</c:v>
                </c:pt>
                <c:pt idx="19">
                  <c:v>462</c:v>
                </c:pt>
                <c:pt idx="20">
                  <c:v>466</c:v>
                </c:pt>
                <c:pt idx="21">
                  <c:v>611</c:v>
                </c:pt>
                <c:pt idx="22">
                  <c:v>639</c:v>
                </c:pt>
                <c:pt idx="23">
                  <c:v>592</c:v>
                </c:pt>
                <c:pt idx="24">
                  <c:v>531</c:v>
                </c:pt>
                <c:pt idx="25">
                  <c:v>429</c:v>
                </c:pt>
                <c:pt idx="26">
                  <c:v>395.5</c:v>
                </c:pt>
                <c:pt idx="27">
                  <c:v>578</c:v>
                </c:pt>
                <c:pt idx="28">
                  <c:v>512.5</c:v>
                </c:pt>
                <c:pt idx="29">
                  <c:v>630</c:v>
                </c:pt>
                <c:pt idx="30">
                  <c:v>479.5</c:v>
                </c:pt>
                <c:pt idx="31">
                  <c:v>435</c:v>
                </c:pt>
                <c:pt idx="32">
                  <c:v>502.5</c:v>
                </c:pt>
                <c:pt idx="33">
                  <c:v>656</c:v>
                </c:pt>
                <c:pt idx="34">
                  <c:v>509.5</c:v>
                </c:pt>
                <c:pt idx="35">
                  <c:v>398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167-A24D-82BD-5916B07E0D21}"/>
            </c:ext>
          </c:extLst>
        </c:ser>
        <c:ser>
          <c:idx val="1"/>
          <c:order val="1"/>
          <c:tx>
            <c:strRef>
              <c:f>'CF2'!$A$35</c:f>
              <c:strCache>
                <c:ptCount val="1"/>
                <c:pt idx="0">
                  <c:v>LTM average net working capital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'CF2'!$C$25:$AL$25</c:f>
              <c:numCache>
                <c:formatCode>mmmyy</c:formatCode>
                <c:ptCount val="36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</c:numCache>
            </c:numRef>
          </c:cat>
          <c:val>
            <c:numRef>
              <c:f>'CF2'!$C$35:$AL$35</c:f>
              <c:numCache>
                <c:formatCode>#,##0_);\(#,##0\)</c:formatCode>
                <c:ptCount val="36"/>
                <c:pt idx="11">
                  <c:v>388.45833333333331</c:v>
                </c:pt>
                <c:pt idx="12">
                  <c:v>387.29166666666669</c:v>
                </c:pt>
                <c:pt idx="13">
                  <c:v>402.375</c:v>
                </c:pt>
                <c:pt idx="14">
                  <c:v>415.93333333333334</c:v>
                </c:pt>
                <c:pt idx="15">
                  <c:v>427.38333333333338</c:v>
                </c:pt>
                <c:pt idx="16">
                  <c:v>436.05833333333334</c:v>
                </c:pt>
                <c:pt idx="17">
                  <c:v>439.04166666666669</c:v>
                </c:pt>
                <c:pt idx="18">
                  <c:v>449.16666666666669</c:v>
                </c:pt>
                <c:pt idx="19">
                  <c:v>458.93333333333334</c:v>
                </c:pt>
                <c:pt idx="20">
                  <c:v>465.50833333333338</c:v>
                </c:pt>
                <c:pt idx="21">
                  <c:v>488.22499999999997</c:v>
                </c:pt>
                <c:pt idx="22">
                  <c:v>513.58333333333337</c:v>
                </c:pt>
                <c:pt idx="23">
                  <c:v>527.16666666666663</c:v>
                </c:pt>
                <c:pt idx="24">
                  <c:v>536.08333333333337</c:v>
                </c:pt>
                <c:pt idx="25">
                  <c:v>526.5</c:v>
                </c:pt>
                <c:pt idx="26">
                  <c:v>511.375</c:v>
                </c:pt>
                <c:pt idx="27">
                  <c:v>517.625</c:v>
                </c:pt>
                <c:pt idx="28">
                  <c:v>517.16666666666663</c:v>
                </c:pt>
                <c:pt idx="29">
                  <c:v>532.33333333333337</c:v>
                </c:pt>
                <c:pt idx="30">
                  <c:v>527.125</c:v>
                </c:pt>
                <c:pt idx="31">
                  <c:v>524.875</c:v>
                </c:pt>
                <c:pt idx="32">
                  <c:v>527.91666666666663</c:v>
                </c:pt>
                <c:pt idx="33">
                  <c:v>531.66666666666663</c:v>
                </c:pt>
                <c:pt idx="34">
                  <c:v>520.875</c:v>
                </c:pt>
                <c:pt idx="35">
                  <c:v>504.70833333333331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167-A24D-82BD-5916B07E0D21}"/>
            </c:ext>
          </c:extLst>
        </c:ser>
        <c:ser>
          <c:idx val="2"/>
          <c:order val="2"/>
          <c:tx>
            <c:strRef>
              <c:f>'CF2'!$A$36</c:f>
              <c:strCache>
                <c:ptCount val="1"/>
                <c:pt idx="0">
                  <c:v>Minimum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'CF2'!$C$25:$AL$25</c:f>
              <c:numCache>
                <c:formatCode>mmmyy</c:formatCode>
                <c:ptCount val="36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</c:numCache>
            </c:numRef>
          </c:cat>
          <c:val>
            <c:numRef>
              <c:f>'CF2'!$C$36:$AL$36</c:f>
              <c:numCache>
                <c:formatCode>#,##0_);\(#,##0\)</c:formatCode>
                <c:ptCount val="36"/>
                <c:pt idx="0">
                  <c:v>334.7</c:v>
                </c:pt>
                <c:pt idx="1">
                  <c:v>334.7</c:v>
                </c:pt>
                <c:pt idx="2">
                  <c:v>334.7</c:v>
                </c:pt>
                <c:pt idx="3">
                  <c:v>334.7</c:v>
                </c:pt>
                <c:pt idx="4">
                  <c:v>334.7</c:v>
                </c:pt>
                <c:pt idx="5">
                  <c:v>334.7</c:v>
                </c:pt>
                <c:pt idx="6">
                  <c:v>334.7</c:v>
                </c:pt>
                <c:pt idx="7">
                  <c:v>334.7</c:v>
                </c:pt>
                <c:pt idx="8">
                  <c:v>334.7</c:v>
                </c:pt>
                <c:pt idx="9">
                  <c:v>334.7</c:v>
                </c:pt>
                <c:pt idx="10">
                  <c:v>334.7</c:v>
                </c:pt>
                <c:pt idx="12">
                  <c:v>424</c:v>
                </c:pt>
                <c:pt idx="13">
                  <c:v>424</c:v>
                </c:pt>
                <c:pt idx="14">
                  <c:v>424</c:v>
                </c:pt>
                <c:pt idx="15">
                  <c:v>424</c:v>
                </c:pt>
                <c:pt idx="16">
                  <c:v>424</c:v>
                </c:pt>
                <c:pt idx="17">
                  <c:v>424</c:v>
                </c:pt>
                <c:pt idx="18">
                  <c:v>424</c:v>
                </c:pt>
                <c:pt idx="19">
                  <c:v>424</c:v>
                </c:pt>
                <c:pt idx="20">
                  <c:v>424</c:v>
                </c:pt>
                <c:pt idx="21">
                  <c:v>424</c:v>
                </c:pt>
                <c:pt idx="22">
                  <c:v>424</c:v>
                </c:pt>
                <c:pt idx="24">
                  <c:v>395.5</c:v>
                </c:pt>
                <c:pt idx="25">
                  <c:v>395.5</c:v>
                </c:pt>
                <c:pt idx="26">
                  <c:v>395.5</c:v>
                </c:pt>
                <c:pt idx="27">
                  <c:v>395.5</c:v>
                </c:pt>
                <c:pt idx="28">
                  <c:v>395.5</c:v>
                </c:pt>
                <c:pt idx="29">
                  <c:v>395.5</c:v>
                </c:pt>
                <c:pt idx="30">
                  <c:v>395.5</c:v>
                </c:pt>
                <c:pt idx="31">
                  <c:v>395.5</c:v>
                </c:pt>
                <c:pt idx="32">
                  <c:v>395.5</c:v>
                </c:pt>
                <c:pt idx="33">
                  <c:v>395.5</c:v>
                </c:pt>
                <c:pt idx="34">
                  <c:v>395.5</c:v>
                </c:pt>
                <c:pt idx="35">
                  <c:v>395.5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67-A24D-82BD-5916B07E0D21}"/>
            </c:ext>
          </c:extLst>
        </c:ser>
        <c:ser>
          <c:idx val="3"/>
          <c:order val="3"/>
          <c:tx>
            <c:strRef>
              <c:f>'CF2'!$A$37</c:f>
              <c:strCache>
                <c:ptCount val="1"/>
                <c:pt idx="0">
                  <c:v>Maximum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'CF2'!$C$25:$AL$25</c:f>
              <c:numCache>
                <c:formatCode>mmmyy</c:formatCode>
                <c:ptCount val="36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</c:numCache>
            </c:numRef>
          </c:cat>
          <c:val>
            <c:numRef>
              <c:f>'CF2'!$C$37:$AL$37</c:f>
              <c:numCache>
                <c:formatCode>#,##0_);\(#,##0\)</c:formatCode>
                <c:ptCount val="36"/>
                <c:pt idx="0">
                  <c:v>438</c:v>
                </c:pt>
                <c:pt idx="1">
                  <c:v>438</c:v>
                </c:pt>
                <c:pt idx="2">
                  <c:v>438</c:v>
                </c:pt>
                <c:pt idx="3">
                  <c:v>438</c:v>
                </c:pt>
                <c:pt idx="4">
                  <c:v>438</c:v>
                </c:pt>
                <c:pt idx="5">
                  <c:v>438</c:v>
                </c:pt>
                <c:pt idx="6">
                  <c:v>438</c:v>
                </c:pt>
                <c:pt idx="7">
                  <c:v>438</c:v>
                </c:pt>
                <c:pt idx="8">
                  <c:v>438</c:v>
                </c:pt>
                <c:pt idx="9">
                  <c:v>438</c:v>
                </c:pt>
                <c:pt idx="10">
                  <c:v>438</c:v>
                </c:pt>
                <c:pt idx="12">
                  <c:v>639</c:v>
                </c:pt>
                <c:pt idx="13">
                  <c:v>639</c:v>
                </c:pt>
                <c:pt idx="14">
                  <c:v>639</c:v>
                </c:pt>
                <c:pt idx="15">
                  <c:v>639</c:v>
                </c:pt>
                <c:pt idx="16">
                  <c:v>639</c:v>
                </c:pt>
                <c:pt idx="17">
                  <c:v>639</c:v>
                </c:pt>
                <c:pt idx="18">
                  <c:v>639</c:v>
                </c:pt>
                <c:pt idx="19">
                  <c:v>639</c:v>
                </c:pt>
                <c:pt idx="20">
                  <c:v>639</c:v>
                </c:pt>
                <c:pt idx="21">
                  <c:v>639</c:v>
                </c:pt>
                <c:pt idx="22">
                  <c:v>639</c:v>
                </c:pt>
                <c:pt idx="24">
                  <c:v>656</c:v>
                </c:pt>
                <c:pt idx="25">
                  <c:v>656</c:v>
                </c:pt>
                <c:pt idx="26">
                  <c:v>656</c:v>
                </c:pt>
                <c:pt idx="27">
                  <c:v>656</c:v>
                </c:pt>
                <c:pt idx="28">
                  <c:v>656</c:v>
                </c:pt>
                <c:pt idx="29">
                  <c:v>656</c:v>
                </c:pt>
                <c:pt idx="30">
                  <c:v>656</c:v>
                </c:pt>
                <c:pt idx="31">
                  <c:v>656</c:v>
                </c:pt>
                <c:pt idx="32">
                  <c:v>656</c:v>
                </c:pt>
                <c:pt idx="33">
                  <c:v>656</c:v>
                </c:pt>
                <c:pt idx="34">
                  <c:v>656</c:v>
                </c:pt>
                <c:pt idx="35">
                  <c:v>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67-A24D-82BD-5916B07E0D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1404112"/>
        <c:axId val="557059120"/>
      </c:lineChart>
      <c:dateAx>
        <c:axId val="561404112"/>
        <c:scaling>
          <c:orientation val="minMax"/>
        </c:scaling>
        <c:delete val="0"/>
        <c:axPos val="b"/>
        <c:numFmt formatCode="mmm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059120"/>
        <c:crosses val="autoZero"/>
        <c:auto val="1"/>
        <c:lblOffset val="100"/>
        <c:baseTimeUnit val="months"/>
      </c:dateAx>
      <c:valAx>
        <c:axId val="557059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404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plotArea>
      <cx:plotAreaRegion>
        <cx:series layoutId="waterfall" uniqueId="{66F04BDE-245C-8A44-A307-3BD41C539E96}">
          <cx:dataLabels pos="outEnd"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050" b="1"/>
                </a:pPr>
                <a:endParaRPr lang="en-US" sz="1050" b="1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endParaRPr>
              </a:p>
            </cx:txPr>
            <cx:visibility seriesName="0" categoryName="0" value="1"/>
          </cx:dataLabels>
          <cx:dataId val="0"/>
          <cx:layoutPr>
            <cx:subtotals>
              <cx:idx val="3"/>
            </cx:subtotals>
          </cx:layoutPr>
        </cx:series>
      </cx:plotAreaRegion>
      <cx:axis id="0">
        <cx:catScaling gapWidth="0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50"/>
            </a:pPr>
            <a:endParaRPr lang="en-US" sz="105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  <cx:axis id="1">
        <cx:valScaling min="12000"/>
        <cx:majorGridlines/>
        <cx:tickLabels/>
      </cx:axis>
    </cx:plotArea>
    <cx:legend pos="b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050"/>
          </a:pPr>
          <a:endParaRPr lang="en-US" sz="105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Calibri" panose="020F0502020204030204"/>
          </a:endParaRPr>
        </a:p>
      </cx:txPr>
    </cx:legend>
  </cx:chart>
  <cx:spPr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divestopia.com/" TargetMode="Externa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596900</xdr:colOff>
      <xdr:row>21</xdr:row>
      <xdr:rowOff>182033</xdr:rowOff>
    </xdr:from>
    <xdr:to>
      <xdr:col>10</xdr:col>
      <xdr:colOff>533400</xdr:colOff>
      <xdr:row>36</xdr:row>
      <xdr:rowOff>182033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882A43-B59F-6045-B2FA-7A7E15B47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3567" y="5325533"/>
          <a:ext cx="4064000" cy="3175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16</xdr:row>
      <xdr:rowOff>88900</xdr:rowOff>
    </xdr:from>
    <xdr:to>
      <xdr:col>4</xdr:col>
      <xdr:colOff>615950</xdr:colOff>
      <xdr:row>29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BC9513-396A-F54A-8BFC-C5FB8936F6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5</xdr:row>
      <xdr:rowOff>12700</xdr:rowOff>
    </xdr:from>
    <xdr:to>
      <xdr:col>10</xdr:col>
      <xdr:colOff>723900</xdr:colOff>
      <xdr:row>18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60FFA2-E9B4-A447-9DAB-71A34AF32A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52</xdr:row>
      <xdr:rowOff>207434</xdr:rowOff>
    </xdr:from>
    <xdr:to>
      <xdr:col>38</xdr:col>
      <xdr:colOff>812801</xdr:colOff>
      <xdr:row>66</xdr:row>
      <xdr:rowOff>97367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61700F3-3B74-124A-B4C6-21CD4149EF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42332</xdr:colOff>
      <xdr:row>68</xdr:row>
      <xdr:rowOff>76201</xdr:rowOff>
    </xdr:from>
    <xdr:to>
      <xdr:col>38</xdr:col>
      <xdr:colOff>791632</xdr:colOff>
      <xdr:row>81</xdr:row>
      <xdr:rowOff>177801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4C0335F-D61F-7941-88F5-E0921402B9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5</xdr:row>
      <xdr:rowOff>50800</xdr:rowOff>
    </xdr:from>
    <xdr:to>
      <xdr:col>11</xdr:col>
      <xdr:colOff>438150</xdr:colOff>
      <xdr:row>18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05E2CD-0270-4B45-8498-112D9BB22D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165100</xdr:colOff>
      <xdr:row>23</xdr:row>
      <xdr:rowOff>0</xdr:rowOff>
    </xdr:from>
    <xdr:to>
      <xdr:col>11</xdr:col>
      <xdr:colOff>431800</xdr:colOff>
      <xdr:row>36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3547FF2-9E2A-E242-A519-EB0C507203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165100</xdr:colOff>
      <xdr:row>59</xdr:row>
      <xdr:rowOff>25400</xdr:rowOff>
    </xdr:from>
    <xdr:to>
      <xdr:col>11</xdr:col>
      <xdr:colOff>431800</xdr:colOff>
      <xdr:row>72</xdr:row>
      <xdr:rowOff>127000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2360B23-3D65-8A4A-8927-417C1BBFEA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41</xdr:row>
      <xdr:rowOff>0</xdr:rowOff>
    </xdr:from>
    <xdr:to>
      <xdr:col>11</xdr:col>
      <xdr:colOff>444500</xdr:colOff>
      <xdr:row>54</xdr:row>
      <xdr:rowOff>101600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0D00231-6ADC-144A-9984-7D7835442F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146050</xdr:colOff>
      <xdr:row>5</xdr:row>
      <xdr:rowOff>12700</xdr:rowOff>
    </xdr:from>
    <xdr:to>
      <xdr:col>17</xdr:col>
      <xdr:colOff>425450</xdr:colOff>
      <xdr:row>18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C6A49E3-FBE5-9E40-A5BF-FF56EE7C9D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</xdr:colOff>
      <xdr:row>15</xdr:row>
      <xdr:rowOff>38100</xdr:rowOff>
    </xdr:from>
    <xdr:to>
      <xdr:col>4</xdr:col>
      <xdr:colOff>603250</xdr:colOff>
      <xdr:row>28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7A30C9-2B19-DC41-B85C-7579CE4849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50800</xdr:rowOff>
    </xdr:from>
    <xdr:to>
      <xdr:col>6</xdr:col>
      <xdr:colOff>152400</xdr:colOff>
      <xdr:row>26</xdr:row>
      <xdr:rowOff>25400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4922FD0-81AF-0140-BCD2-00433004B147}"/>
            </a:ext>
          </a:extLst>
        </xdr:cNvPr>
        <xdr:cNvSpPr txBox="1"/>
      </xdr:nvSpPr>
      <xdr:spPr>
        <a:xfrm>
          <a:off x="0" y="965200"/>
          <a:ext cx="5816600" cy="4445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u="sng"/>
            <a:t>Forecast</a:t>
          </a:r>
          <a:r>
            <a:rPr lang="en-US" sz="1100" b="1" u="sng" baseline="0"/>
            <a:t> assumptions</a:t>
          </a:r>
          <a:r>
            <a:rPr lang="en-US" sz="1100" b="1" u="sng"/>
            <a:t>:</a:t>
          </a:r>
        </a:p>
        <a:p>
          <a:endParaRPr lang="en-US" sz="1100"/>
        </a:p>
        <a:p>
          <a:r>
            <a:rPr lang="en-US" sz="1100" b="1"/>
            <a:t>Revenues</a:t>
          </a:r>
          <a:r>
            <a:rPr lang="en-US" sz="1100"/>
            <a:t>: Revenues</a:t>
          </a:r>
          <a:r>
            <a:rPr lang="en-US" sz="1100" baseline="0"/>
            <a:t> increased on average 16% in the last two years. For coming years a conservative growth percentage of 5% per annum is assumed.</a:t>
          </a:r>
          <a:endParaRPr lang="en-US" sz="1100"/>
        </a:p>
        <a:p>
          <a:endParaRPr lang="en-US" sz="1100"/>
        </a:p>
        <a:p>
          <a:r>
            <a:rPr lang="en-US" sz="1100" b="1"/>
            <a:t>Gross</a:t>
          </a:r>
          <a:r>
            <a:rPr lang="en-US" sz="1100" b="1" baseline="0"/>
            <a:t> margin</a:t>
          </a:r>
          <a:r>
            <a:rPr lang="en-US" sz="1100" baseline="0"/>
            <a:t>: Due to new cost initiatives the gross margin will initially decline to 40%. However, when the new initiatives are fully operative the gross margin is expected to increase to 45%, driven by new supplier terms.</a:t>
          </a:r>
        </a:p>
        <a:p>
          <a:endParaRPr lang="en-US" sz="1100" baseline="0"/>
        </a:p>
        <a:p>
          <a:r>
            <a:rPr lang="en-US" sz="1100" b="1" baseline="0"/>
            <a:t>Payroll</a:t>
          </a:r>
          <a:r>
            <a:rPr lang="en-US" sz="1100" baseline="0"/>
            <a:t>: Given the change in the salary of the owner post-acquisition the salary costs per FTE are expected to decline in FY20F. As from FY21F onwards a small increase in number of FTE and average salary is expected to support increasing revenue levels.</a:t>
          </a:r>
        </a:p>
        <a:p>
          <a:endParaRPr lang="en-US" sz="1100" baseline="0"/>
        </a:p>
        <a:p>
          <a:r>
            <a:rPr lang="en-US" sz="1100" b="1" baseline="0"/>
            <a:t>Operating costs</a:t>
          </a:r>
          <a:r>
            <a:rPr lang="en-US" sz="1100" baseline="0"/>
            <a:t>: Several cost saving initiatives are initiated in FY19, which will decline operating costs. For next years a growth of 1% is assumed (mainly inflationary increases).</a:t>
          </a:r>
        </a:p>
        <a:p>
          <a:endParaRPr lang="en-US" sz="1100" baseline="0"/>
        </a:p>
        <a:p>
          <a:r>
            <a:rPr lang="en-US" sz="1100" b="1" baseline="0"/>
            <a:t>Interest</a:t>
          </a:r>
          <a:r>
            <a:rPr lang="en-US" sz="1100" baseline="0"/>
            <a:t>: Interest expense is assumed similar to interest income. This is conservative given the declining long-term loan balance in upcoming years.</a:t>
          </a:r>
        </a:p>
        <a:p>
          <a:endParaRPr lang="en-US" sz="1100" baseline="0"/>
        </a:p>
        <a:p>
          <a:r>
            <a:rPr lang="en-US" sz="1100" b="1" baseline="0"/>
            <a:t>Corporate income tax</a:t>
          </a:r>
          <a:r>
            <a:rPr lang="en-US" sz="1100" baseline="0"/>
            <a:t>: No carry forward losses are available. As such, assumed the effective rate to be similar to the normal tax rate of 25%.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95250</xdr:colOff>
      <xdr:row>5</xdr:row>
      <xdr:rowOff>25400</xdr:rowOff>
    </xdr:from>
    <xdr:to>
      <xdr:col>13</xdr:col>
      <xdr:colOff>723900</xdr:colOff>
      <xdr:row>18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0F63A2-02FE-2E46-BB10-F95A2835B4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69850</xdr:colOff>
      <xdr:row>15</xdr:row>
      <xdr:rowOff>63500</xdr:rowOff>
    </xdr:from>
    <xdr:to>
      <xdr:col>7</xdr:col>
      <xdr:colOff>317500</xdr:colOff>
      <xdr:row>30</xdr:row>
      <xdr:rowOff>12700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Chart 6">
              <a:extLst>
                <a:ext uri="{FF2B5EF4-FFF2-40B4-BE49-F238E27FC236}">
                  <a16:creationId xmlns:a16="http://schemas.microsoft.com/office/drawing/2014/main" id="{F7F8C014-2456-984F-A15B-E4013B2C9B4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9850" y="3213100"/>
              <a:ext cx="6864350" cy="2794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33866</xdr:colOff>
      <xdr:row>0</xdr:row>
      <xdr:rowOff>228600</xdr:rowOff>
    </xdr:from>
    <xdr:to>
      <xdr:col>10</xdr:col>
      <xdr:colOff>749300</xdr:colOff>
      <xdr:row>32</xdr:row>
      <xdr:rowOff>114300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1A04DA4-462A-F940-98CB-B44EB16B5A47}"/>
            </a:ext>
          </a:extLst>
        </xdr:cNvPr>
        <xdr:cNvSpPr txBox="1"/>
      </xdr:nvSpPr>
      <xdr:spPr>
        <a:xfrm>
          <a:off x="4999566" y="228600"/>
          <a:ext cx="4842934" cy="6286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u="sng"/>
            <a:t>Comments:</a:t>
          </a:r>
        </a:p>
        <a:p>
          <a:endParaRPr lang="en-US" sz="1100"/>
        </a:p>
        <a:p>
          <a:r>
            <a:rPr lang="en-US" sz="1100" b="1"/>
            <a:t>1.</a:t>
          </a:r>
          <a:r>
            <a:rPr lang="en-US" sz="1100" b="1" baseline="0"/>
            <a:t>  </a:t>
          </a:r>
          <a:r>
            <a:rPr lang="en-US" sz="1100" b="1"/>
            <a:t>Net result to EBITDA</a:t>
          </a:r>
          <a:r>
            <a:rPr lang="en-US" sz="1100"/>
            <a:t>: The</a:t>
          </a:r>
          <a:r>
            <a:rPr lang="en-US" sz="1100" baseline="0"/>
            <a:t> items below EBITDA, such as income tax, interest and depreciation do not contain operational items to be considered in EBITDA, except for a debtor write-off in FY17 which was recorded as part of depreciation.</a:t>
          </a:r>
          <a:endParaRPr lang="en-US" sz="1100"/>
        </a:p>
        <a:p>
          <a:endParaRPr lang="en-US" sz="1100"/>
        </a:p>
        <a:p>
          <a:r>
            <a:rPr lang="en-US" sz="1100" b="1"/>
            <a:t>2.</a:t>
          </a:r>
          <a:r>
            <a:rPr lang="en-US" sz="1100" b="1" baseline="0"/>
            <a:t> </a:t>
          </a:r>
          <a:r>
            <a:rPr lang="en-US" sz="1100" b="1"/>
            <a:t>Double salary new CFO</a:t>
          </a:r>
          <a:r>
            <a:rPr lang="en-US" sz="1100"/>
            <a:t>: In October 2019, a new CFO started in the Company.</a:t>
          </a:r>
          <a:r>
            <a:rPr lang="en-US" sz="1100" baseline="0"/>
            <a:t> The prior CFO was active in the period from October to December 2019 as well. From 2020, the new CFO will act alone. The double salary of the old CFO ($12k per month) is adjusted in EBITDA.</a:t>
          </a:r>
          <a:endParaRPr lang="en-US" sz="1100"/>
        </a:p>
        <a:p>
          <a:endParaRPr lang="en-US" sz="1100"/>
        </a:p>
        <a:p>
          <a:r>
            <a:rPr lang="en-US" sz="1100" b="1"/>
            <a:t>3.</a:t>
          </a:r>
          <a:r>
            <a:rPr lang="en-US" sz="1100" b="1" baseline="0"/>
            <a:t> </a:t>
          </a:r>
          <a:r>
            <a:rPr lang="en-US" sz="1100" b="1"/>
            <a:t>Recruitment costs new CFO</a:t>
          </a:r>
          <a:r>
            <a:rPr lang="en-US" sz="1100"/>
            <a:t>: An</a:t>
          </a:r>
          <a:r>
            <a:rPr lang="en-US" sz="1100" baseline="0"/>
            <a:t> external agency was engaged to find the new CFO. The recruitment cost incurred by this agency are adjusted.</a:t>
          </a:r>
          <a:endParaRPr lang="en-US" sz="1100"/>
        </a:p>
        <a:p>
          <a:endParaRPr lang="en-US" sz="1100"/>
        </a:p>
        <a:p>
          <a:r>
            <a:rPr lang="en-US" sz="1100" b="1"/>
            <a:t>4.</a:t>
          </a:r>
          <a:r>
            <a:rPr lang="en-US" sz="1100" b="1" baseline="0"/>
            <a:t> </a:t>
          </a:r>
          <a:r>
            <a:rPr lang="en-US" sz="1100" b="1"/>
            <a:t>Release provision</a:t>
          </a:r>
          <a:r>
            <a:rPr lang="en-US" sz="1100"/>
            <a:t>: In FY18,</a:t>
          </a:r>
          <a:r>
            <a:rPr lang="en-US" sz="1100" baseline="0"/>
            <a:t> the provision for claims was increased by $100k. However, in FY19, the lawsuit was won in our favor and the provision could be released.</a:t>
          </a:r>
          <a:endParaRPr lang="en-US" sz="1100"/>
        </a:p>
        <a:p>
          <a:endParaRPr lang="en-US" sz="1100"/>
        </a:p>
        <a:p>
          <a:r>
            <a:rPr lang="en-US" sz="1100" b="1"/>
            <a:t>5.</a:t>
          </a:r>
          <a:r>
            <a:rPr lang="en-US" sz="1100" b="1" baseline="0"/>
            <a:t> </a:t>
          </a:r>
          <a:r>
            <a:rPr lang="en-US" sz="1100" b="1"/>
            <a:t>One-off advisory costs</a:t>
          </a:r>
          <a:r>
            <a:rPr lang="en-US" sz="1100"/>
            <a:t>: During</a:t>
          </a:r>
          <a:r>
            <a:rPr lang="en-US" sz="1100" baseline="0"/>
            <a:t> FY18 and FY19, the Company incurred external advisory costs related to the implementation of a new ERP system.</a:t>
          </a:r>
          <a:endParaRPr lang="en-US" sz="1100"/>
        </a:p>
        <a:p>
          <a:endParaRPr lang="en-US" sz="1100"/>
        </a:p>
        <a:p>
          <a:r>
            <a:rPr lang="en-US" sz="1100" b="1"/>
            <a:t>6.</a:t>
          </a:r>
          <a:r>
            <a:rPr lang="en-US" sz="1100" b="1" baseline="0"/>
            <a:t> </a:t>
          </a:r>
          <a:r>
            <a:rPr lang="en-US" sz="1100" b="1"/>
            <a:t>Debtor write-off below EBITDA</a:t>
          </a:r>
          <a:r>
            <a:rPr lang="en-US" sz="1100"/>
            <a:t>: Starting FY18, all debtors write-offs are recorded in selling</a:t>
          </a:r>
          <a:r>
            <a:rPr lang="en-US" sz="1100" baseline="0"/>
            <a:t> expenses above EBITDA. The FY17 charge was recorded in decpreciation.</a:t>
          </a:r>
          <a:endParaRPr lang="en-US" sz="1100"/>
        </a:p>
        <a:p>
          <a:endParaRPr lang="en-US" sz="1100"/>
        </a:p>
        <a:p>
          <a:r>
            <a:rPr lang="en-US" sz="1100" b="1"/>
            <a:t>7.</a:t>
          </a:r>
          <a:r>
            <a:rPr lang="en-US" sz="1100" b="1" baseline="0"/>
            <a:t> </a:t>
          </a:r>
          <a:r>
            <a:rPr lang="en-US" sz="1100" b="1"/>
            <a:t>New salary owner</a:t>
          </a:r>
          <a:r>
            <a:rPr lang="en-US" sz="1100"/>
            <a:t>: Post-acquisition</a:t>
          </a:r>
          <a:r>
            <a:rPr lang="en-US" sz="1100" baseline="0"/>
            <a:t> the owner will continue as an employee within the Company. The owners salary will decrease by $10k per month.</a:t>
          </a:r>
          <a:endParaRPr lang="en-US" sz="1100"/>
        </a:p>
        <a:p>
          <a:endParaRPr lang="en-US" sz="1100"/>
        </a:p>
        <a:p>
          <a:r>
            <a:rPr lang="en-US" sz="1100" b="1"/>
            <a:t>8.</a:t>
          </a:r>
          <a:r>
            <a:rPr lang="en-US" sz="1100" b="1" baseline="0"/>
            <a:t> </a:t>
          </a:r>
          <a:r>
            <a:rPr lang="en-US" sz="1100" b="1"/>
            <a:t>Change rental contract</a:t>
          </a:r>
          <a:r>
            <a:rPr lang="en-US" sz="1100"/>
            <a:t>: Currently, the real estate is owned by a related company</a:t>
          </a:r>
          <a:r>
            <a:rPr lang="en-US" sz="1100" baseline="0"/>
            <a:t> of the owner. The rental price is below what is common in the market. Post-acquisition a new rental contract will be agreed with a market price. The difference between the current and market price is adjusted in EBITDA.</a:t>
          </a:r>
          <a:endParaRPr lang="en-US" sz="1100"/>
        </a:p>
        <a:p>
          <a:endParaRPr lang="en-US" sz="1100"/>
        </a:p>
        <a:p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50800</xdr:colOff>
      <xdr:row>2</xdr:row>
      <xdr:rowOff>165100</xdr:rowOff>
    </xdr:from>
    <xdr:to>
      <xdr:col>8</xdr:col>
      <xdr:colOff>766234</xdr:colOff>
      <xdr:row>19</xdr:row>
      <xdr:rowOff>177800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B69B0B1-C4BC-884E-A3E2-91A115524DF1}"/>
            </a:ext>
          </a:extLst>
        </xdr:cNvPr>
        <xdr:cNvSpPr txBox="1"/>
      </xdr:nvSpPr>
      <xdr:spPr>
        <a:xfrm>
          <a:off x="3429000" y="673100"/>
          <a:ext cx="4842934" cy="3467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u="sng"/>
            <a:t>Comments:</a:t>
          </a:r>
        </a:p>
        <a:p>
          <a:endParaRPr lang="en-US" sz="1100"/>
        </a:p>
        <a:p>
          <a:r>
            <a:rPr lang="en-US" sz="1100" b="1"/>
            <a:t>1.</a:t>
          </a:r>
          <a:r>
            <a:rPr lang="en-US" sz="1100" b="1" baseline="0"/>
            <a:t> </a:t>
          </a:r>
          <a:r>
            <a:rPr lang="en-US" sz="1100" b="1"/>
            <a:t>Reported net debt</a:t>
          </a:r>
          <a:r>
            <a:rPr lang="en-US" sz="1100"/>
            <a:t>: The reported net debt includes $419</a:t>
          </a:r>
          <a:r>
            <a:rPr lang="en-US" sz="1100" baseline="0"/>
            <a:t>k long-term loan at the Citibank and $361k cash in banks. The cash in banks is freely available.</a:t>
          </a:r>
        </a:p>
        <a:p>
          <a:endParaRPr lang="en-US" sz="1100" baseline="0"/>
        </a:p>
        <a:p>
          <a:r>
            <a:rPr lang="en-US" sz="1100" b="1"/>
            <a:t>2.</a:t>
          </a:r>
          <a:r>
            <a:rPr lang="en-US" sz="1100" b="1" baseline="0"/>
            <a:t> </a:t>
          </a:r>
          <a:r>
            <a:rPr lang="en-US" sz="1100" b="1"/>
            <a:t>Corporate</a:t>
          </a:r>
          <a:r>
            <a:rPr lang="en-US" sz="1100" b="1" baseline="0"/>
            <a:t> income tax payable</a:t>
          </a:r>
          <a:r>
            <a:rPr lang="en-US" sz="1100"/>
            <a:t>: The corporate income tax payable</a:t>
          </a:r>
          <a:r>
            <a:rPr lang="en-US" sz="1100" baseline="0"/>
            <a:t> is the open payable position as of Dec19</a:t>
          </a:r>
          <a:r>
            <a:rPr lang="en-US" sz="1100"/>
            <a:t>. The final tax declaration</a:t>
          </a:r>
          <a:r>
            <a:rPr lang="en-US" sz="1100" baseline="0"/>
            <a:t> has been submitted.</a:t>
          </a:r>
          <a:endParaRPr lang="en-US" sz="1100"/>
        </a:p>
        <a:p>
          <a:endParaRPr lang="en-US" sz="1100"/>
        </a:p>
        <a:p>
          <a:r>
            <a:rPr lang="en-US" sz="1100" b="1"/>
            <a:t>3.</a:t>
          </a:r>
          <a:r>
            <a:rPr lang="en-US" sz="1100" b="1" baseline="0"/>
            <a:t> </a:t>
          </a:r>
          <a:r>
            <a:rPr lang="en-US" sz="1100" b="1"/>
            <a:t>One-off IT advisory cost payable</a:t>
          </a:r>
          <a:r>
            <a:rPr lang="en-US" sz="1100"/>
            <a:t>: During FY18 and FY19,</a:t>
          </a:r>
          <a:r>
            <a:rPr lang="en-US" sz="1100" baseline="0"/>
            <a:t> the Company hired an external advisor for the implementation of a new ERP system</a:t>
          </a:r>
          <a:r>
            <a:rPr lang="en-US" sz="1100"/>
            <a:t>. The total engagement is $125k, of which $20k is still payable at</a:t>
          </a:r>
          <a:r>
            <a:rPr lang="en-US" sz="1100" baseline="0"/>
            <a:t> Dec19.</a:t>
          </a:r>
          <a:endParaRPr lang="en-US" sz="1100"/>
        </a:p>
        <a:p>
          <a:endParaRPr lang="en-US" sz="1100"/>
        </a:p>
        <a:p>
          <a:r>
            <a:rPr lang="en-US" sz="1100" b="1"/>
            <a:t>4.</a:t>
          </a:r>
          <a:r>
            <a:rPr lang="en-US" sz="1100" b="1" baseline="0"/>
            <a:t> </a:t>
          </a:r>
          <a:r>
            <a:rPr lang="en-US" sz="1100" b="1"/>
            <a:t>Accrued interest</a:t>
          </a:r>
          <a:r>
            <a:rPr lang="en-US" sz="1100"/>
            <a:t>: The interest of the long-term loan is accrued as other payables.</a:t>
          </a:r>
        </a:p>
        <a:p>
          <a:endParaRPr lang="en-US" sz="1100"/>
        </a:p>
        <a:p>
          <a:r>
            <a:rPr lang="en-US" sz="1100" b="1"/>
            <a:t>5.</a:t>
          </a:r>
          <a:r>
            <a:rPr lang="en-US" sz="1100" b="1" baseline="0"/>
            <a:t> </a:t>
          </a:r>
          <a:r>
            <a:rPr lang="en-US" sz="1100" b="1"/>
            <a:t>Shareholder payable</a:t>
          </a:r>
          <a:r>
            <a:rPr lang="en-US" sz="1100"/>
            <a:t>: The other</a:t>
          </a:r>
          <a:r>
            <a:rPr lang="en-US" sz="1100" baseline="0"/>
            <a:t> payables include an aged payable to the Shareholder</a:t>
          </a:r>
          <a:r>
            <a:rPr lang="en-US" sz="1100"/>
            <a:t>.</a:t>
          </a:r>
        </a:p>
        <a:p>
          <a:endParaRPr lang="en-US" sz="1100"/>
        </a:p>
        <a:p>
          <a:endParaRPr lang="en-US" sz="1100"/>
        </a:p>
        <a:p>
          <a:endParaRPr lang="en-US" sz="1100"/>
        </a:p>
        <a:p>
          <a:endParaRPr 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63500</xdr:colOff>
      <xdr:row>2</xdr:row>
      <xdr:rowOff>190500</xdr:rowOff>
    </xdr:from>
    <xdr:to>
      <xdr:col>43</xdr:col>
      <xdr:colOff>787400</xdr:colOff>
      <xdr:row>15</xdr:row>
      <xdr:rowOff>165100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F1832F0-80ED-7648-87AA-272F669E945C}"/>
            </a:ext>
          </a:extLst>
        </xdr:cNvPr>
        <xdr:cNvSpPr txBox="1"/>
      </xdr:nvSpPr>
      <xdr:spPr>
        <a:xfrm>
          <a:off x="7594600" y="698500"/>
          <a:ext cx="2374900" cy="2628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u="sng"/>
            <a:t>Comments:</a:t>
          </a:r>
        </a:p>
        <a:p>
          <a:endParaRPr lang="en-US" sz="1100"/>
        </a:p>
        <a:p>
          <a:r>
            <a:rPr lang="en-US" sz="1100" b="1"/>
            <a:t>1.</a:t>
          </a:r>
          <a:r>
            <a:rPr lang="en-US" sz="1100" b="1" baseline="0"/>
            <a:t> </a:t>
          </a:r>
          <a:r>
            <a:rPr lang="en-US" sz="1100" b="1"/>
            <a:t>Debt-like</a:t>
          </a:r>
          <a:r>
            <a:rPr lang="en-US" sz="1100" b="1" baseline="0"/>
            <a:t> items:</a:t>
          </a:r>
        </a:p>
        <a:p>
          <a:r>
            <a:rPr lang="en-US" sz="1100" b="0" baseline="0"/>
            <a:t>For details on the debt-like items refer to the net debt section.</a:t>
          </a:r>
          <a:r>
            <a:rPr lang="en-US" sz="1100" b="1" baseline="0"/>
            <a:t> </a:t>
          </a:r>
        </a:p>
        <a:p>
          <a:endParaRPr lang="en-US" sz="1100" b="1" baseline="0"/>
        </a:p>
        <a:p>
          <a:r>
            <a:rPr lang="en-US" sz="1100" b="1" baseline="0"/>
            <a:t>2. NWC variance adjustment:</a:t>
          </a:r>
        </a:p>
        <a:p>
          <a:r>
            <a:rPr lang="en-US" sz="1100" b="0" baseline="0"/>
            <a:t>Depending on which average level to consider as normal (e.g., either the last 3 months, last 6 months or last twelve months), the net working capital variance adjustment is $123k, $99k or $107k debt-like, respectively.</a:t>
          </a:r>
          <a:endParaRPr lang="en-US" sz="1100" b="0"/>
        </a:p>
        <a:p>
          <a:endParaRPr lang="en-US" sz="1100"/>
        </a:p>
        <a:p>
          <a:endParaRPr lang="en-US" sz="1100"/>
        </a:p>
        <a:p>
          <a:endParaRPr lang="en-US" sz="1100"/>
        </a:p>
        <a:p>
          <a:endParaRPr 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31750</xdr:colOff>
      <xdr:row>29</xdr:row>
      <xdr:rowOff>12700</xdr:rowOff>
    </xdr:from>
    <xdr:to>
      <xdr:col>15</xdr:col>
      <xdr:colOff>381000</xdr:colOff>
      <xdr:row>39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BD29F09-7BF5-224F-9CE1-7C607C25E6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158750</xdr:colOff>
      <xdr:row>17</xdr:row>
      <xdr:rowOff>12700</xdr:rowOff>
    </xdr:from>
    <xdr:to>
      <xdr:col>15</xdr:col>
      <xdr:colOff>425450</xdr:colOff>
      <xdr:row>28</xdr:row>
      <xdr:rowOff>25400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5035012-5B47-3241-A300-327CCD756E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158750</xdr:colOff>
      <xdr:row>5</xdr:row>
      <xdr:rowOff>50800</xdr:rowOff>
    </xdr:from>
    <xdr:to>
      <xdr:col>15</xdr:col>
      <xdr:colOff>425450</xdr:colOff>
      <xdr:row>16</xdr:row>
      <xdr:rowOff>38100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4B3D34E-ADFC-744C-A58D-B40F4CA3CA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82550</xdr:colOff>
      <xdr:row>15</xdr:row>
      <xdr:rowOff>76200</xdr:rowOff>
    </xdr:from>
    <xdr:to>
      <xdr:col>4</xdr:col>
      <xdr:colOff>641350</xdr:colOff>
      <xdr:row>28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C5FB0C-D217-1746-9859-47154260A3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69850</xdr:colOff>
      <xdr:row>16</xdr:row>
      <xdr:rowOff>0</xdr:rowOff>
    </xdr:from>
    <xdr:to>
      <xdr:col>4</xdr:col>
      <xdr:colOff>628650</xdr:colOff>
      <xdr:row>29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DBA1484-8E7B-EE49-B80C-4697C596D1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http://www.divestopia.com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5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2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3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5.v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6.v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7.v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8.v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9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drawing" Target="../drawings/drawing8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drawing" Target="../drawings/drawing9.x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drawing" Target="../drawings/drawing10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3.v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4.v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drawing" Target="../drawings/drawing11.x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drawing" Target="../drawings/drawing12.x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drawing" Target="../drawings/drawing13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8.vm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drawing" Target="../drawings/drawing1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0.vml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drawing" Target="../drawings/drawing15.xml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drawing" Target="../drawings/drawing1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1398C-0046-4D4D-87EF-8F7A694BD3D0}">
  <sheetPr>
    <tabColor theme="1"/>
    <pageSetUpPr fitToPage="1"/>
  </sheetPr>
  <dimension ref="A3:B15"/>
  <sheetViews>
    <sheetView showGridLines="0" tabSelected="1" zoomScaleNormal="100" workbookViewId="0"/>
  </sheetViews>
  <sheetFormatPr baseColWidth="10" defaultRowHeight="16" x14ac:dyDescent="0.2"/>
  <cols>
    <col min="2" max="2" width="17.6640625" bestFit="1" customWidth="1"/>
  </cols>
  <sheetData>
    <row r="3" spans="1:2" x14ac:dyDescent="0.2">
      <c r="A3" s="48"/>
    </row>
    <row r="9" spans="1:2" ht="47" x14ac:dyDescent="0.55000000000000004">
      <c r="B9" s="3" t="s">
        <v>0</v>
      </c>
    </row>
    <row r="10" spans="1:2" ht="31" x14ac:dyDescent="0.35">
      <c r="B10" s="4" t="s">
        <v>1</v>
      </c>
    </row>
    <row r="13" spans="1:2" ht="26" x14ac:dyDescent="0.3">
      <c r="B13" s="5">
        <f ca="1">TODAY()</f>
        <v>43913</v>
      </c>
    </row>
    <row r="15" spans="1:2" x14ac:dyDescent="0.2">
      <c r="B15" s="12" t="s">
        <v>35</v>
      </c>
    </row>
  </sheetData>
  <hyperlinks>
    <hyperlink ref="B15" r:id="rId1" xr:uid="{90998663-5615-8643-B776-F9A4E40973E1}"/>
  </hyperlinks>
  <pageMargins left="0.70866141732283472" right="0.70866141732283472" top="1.3385826771653544" bottom="0.74803149606299213" header="0.31496062992125984" footer="0.31496062992125984"/>
  <pageSetup paperSize="9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31F62-60F0-EA45-A252-449E7C03C6F7}">
  <sheetPr>
    <tabColor theme="5"/>
    <pageSetUpPr fitToPage="1"/>
  </sheetPr>
  <dimension ref="A1:G17"/>
  <sheetViews>
    <sheetView showGridLines="0" zoomScaleNormal="100" workbookViewId="0">
      <selection activeCell="B14" sqref="B14"/>
    </sheetView>
  </sheetViews>
  <sheetFormatPr baseColWidth="10" defaultRowHeight="16" x14ac:dyDescent="0.2"/>
  <cols>
    <col min="1" max="1" width="28.33203125" customWidth="1"/>
    <col min="2" max="2" width="5.1640625" customWidth="1"/>
  </cols>
  <sheetData>
    <row r="1" spans="1:7" ht="21" x14ac:dyDescent="0.25">
      <c r="A1" s="2" t="s">
        <v>11</v>
      </c>
    </row>
    <row r="2" spans="1:7" ht="19" x14ac:dyDescent="0.25">
      <c r="A2" s="7" t="str">
        <f>VD!A1</f>
        <v>Valuation drivers section</v>
      </c>
    </row>
    <row r="3" spans="1:7" x14ac:dyDescent="0.2">
      <c r="A3" s="47" t="s">
        <v>101</v>
      </c>
    </row>
    <row r="4" spans="1:7" x14ac:dyDescent="0.2">
      <c r="A4" s="13"/>
      <c r="B4" s="13"/>
      <c r="C4" s="13"/>
    </row>
    <row r="5" spans="1:7" x14ac:dyDescent="0.2">
      <c r="A5" s="28" t="s">
        <v>39</v>
      </c>
      <c r="B5" s="50" t="s">
        <v>40</v>
      </c>
      <c r="C5" s="33">
        <v>43800</v>
      </c>
    </row>
    <row r="6" spans="1:7" x14ac:dyDescent="0.2">
      <c r="A6" t="s">
        <v>89</v>
      </c>
      <c r="C6" s="19">
        <v>419</v>
      </c>
      <c r="E6" s="19"/>
      <c r="F6" s="19"/>
      <c r="G6" s="19"/>
    </row>
    <row r="7" spans="1:7" x14ac:dyDescent="0.2">
      <c r="A7" t="s">
        <v>88</v>
      </c>
      <c r="C7" s="19">
        <v>-361</v>
      </c>
      <c r="E7" s="19"/>
      <c r="F7" s="19"/>
      <c r="G7" s="19"/>
    </row>
    <row r="8" spans="1:7" x14ac:dyDescent="0.2">
      <c r="A8" s="39" t="s">
        <v>116</v>
      </c>
      <c r="B8" s="54">
        <v>1</v>
      </c>
      <c r="C8" s="37">
        <f>SUM(C6:C7)</f>
        <v>58</v>
      </c>
    </row>
    <row r="9" spans="1:7" x14ac:dyDescent="0.2">
      <c r="A9" s="51" t="s">
        <v>117</v>
      </c>
      <c r="C9" s="19"/>
    </row>
    <row r="10" spans="1:7" x14ac:dyDescent="0.2">
      <c r="A10" t="s">
        <v>120</v>
      </c>
      <c r="B10" s="53">
        <v>2</v>
      </c>
      <c r="C10" s="19">
        <v>27</v>
      </c>
    </row>
    <row r="11" spans="1:7" x14ac:dyDescent="0.2">
      <c r="A11" t="s">
        <v>121</v>
      </c>
      <c r="B11" s="53">
        <v>3</v>
      </c>
      <c r="C11" s="19">
        <v>20</v>
      </c>
    </row>
    <row r="12" spans="1:7" x14ac:dyDescent="0.2">
      <c r="A12" t="s">
        <v>122</v>
      </c>
      <c r="B12" s="53">
        <v>4</v>
      </c>
      <c r="C12" s="19">
        <v>16</v>
      </c>
    </row>
    <row r="13" spans="1:7" x14ac:dyDescent="0.2">
      <c r="A13" t="s">
        <v>123</v>
      </c>
      <c r="B13" s="53">
        <v>5</v>
      </c>
      <c r="C13" s="19">
        <v>10</v>
      </c>
    </row>
    <row r="14" spans="1:7" x14ac:dyDescent="0.2">
      <c r="A14" s="6" t="s">
        <v>118</v>
      </c>
      <c r="B14" s="53"/>
      <c r="C14" s="57">
        <f>SUM(C10:C13)</f>
        <v>73</v>
      </c>
    </row>
    <row r="15" spans="1:7" x14ac:dyDescent="0.2">
      <c r="A15" s="39" t="s">
        <v>119</v>
      </c>
      <c r="B15" s="54"/>
      <c r="C15" s="37">
        <f>SUM(C8,C14)</f>
        <v>131</v>
      </c>
    </row>
    <row r="16" spans="1:7" x14ac:dyDescent="0.2">
      <c r="A16" s="16" t="str">
        <f>A2&amp;" - "&amp;A1</f>
        <v>Valuation drivers section - Net debt overview</v>
      </c>
    </row>
    <row r="17" spans="1:1" x14ac:dyDescent="0.2">
      <c r="A17" s="16" t="s">
        <v>115</v>
      </c>
    </row>
  </sheetData>
  <hyperlinks>
    <hyperlink ref="A3" location="Contents!A1" display="Back to: Table of contents" xr:uid="{D0942C7A-A70F-0A45-8D67-D782015069C9}"/>
  </hyperlinks>
  <pageMargins left="0.70866141732283472" right="0.70866141732283472" top="1.3385826771653544" bottom="0.74803149606299213" header="0.31496062992125984" footer="0.31496062992125984"/>
  <pageSetup paperSize="9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ignoredErrors>
    <ignoredError sqref="C8" formulaRange="1"/>
  </ignoredErrors>
  <drawing r:id="rId1"/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3DEE1-0700-5B43-BD44-4BA6982B3B77}">
  <sheetPr>
    <tabColor theme="5"/>
    <pageSetUpPr fitToPage="1"/>
  </sheetPr>
  <dimension ref="A1:AO25"/>
  <sheetViews>
    <sheetView showGridLines="0" zoomScaleNormal="100" workbookViewId="0">
      <selection activeCell="B14" sqref="B14"/>
    </sheetView>
  </sheetViews>
  <sheetFormatPr baseColWidth="10" defaultRowHeight="16" outlineLevelCol="1" x14ac:dyDescent="0.2"/>
  <cols>
    <col min="1" max="1" width="28.6640625" customWidth="1"/>
    <col min="2" max="2" width="5.1640625" customWidth="1"/>
    <col min="3" max="13" width="10.83203125" hidden="1" customWidth="1" outlineLevel="1"/>
    <col min="14" max="14" width="10.83203125" collapsed="1"/>
    <col min="15" max="25" width="10.83203125" hidden="1" customWidth="1" outlineLevel="1"/>
    <col min="26" max="26" width="10.83203125" collapsed="1"/>
    <col min="27" max="37" width="10.83203125" hidden="1" customWidth="1" outlineLevel="1"/>
    <col min="38" max="38" width="10.83203125" collapsed="1"/>
  </cols>
  <sheetData>
    <row r="1" spans="1:41" ht="21" x14ac:dyDescent="0.25">
      <c r="A1" s="2" t="s">
        <v>12</v>
      </c>
    </row>
    <row r="2" spans="1:41" ht="19" x14ac:dyDescent="0.25">
      <c r="A2" s="7" t="str">
        <f>VD!A1</f>
        <v>Valuation drivers section</v>
      </c>
    </row>
    <row r="3" spans="1:41" ht="17" thickBot="1" x14ac:dyDescent="0.25">
      <c r="A3" s="47" t="s">
        <v>101</v>
      </c>
      <c r="AM3" s="35"/>
      <c r="AN3" s="35"/>
      <c r="AO3" s="35"/>
    </row>
    <row r="4" spans="1:41" x14ac:dyDescent="0.2">
      <c r="A4" s="13"/>
      <c r="B4" s="13"/>
      <c r="C4" s="13"/>
      <c r="D4" s="13"/>
      <c r="E4" s="13"/>
      <c r="AM4" s="106" t="s">
        <v>127</v>
      </c>
      <c r="AN4" s="107"/>
      <c r="AO4" s="108"/>
    </row>
    <row r="5" spans="1:41" x14ac:dyDescent="0.2">
      <c r="A5" s="28" t="s">
        <v>39</v>
      </c>
      <c r="B5" s="50" t="s">
        <v>40</v>
      </c>
      <c r="C5" s="33">
        <v>42736</v>
      </c>
      <c r="D5" s="33">
        <v>42767</v>
      </c>
      <c r="E5" s="33">
        <v>42795</v>
      </c>
      <c r="F5" s="33">
        <v>42826</v>
      </c>
      <c r="G5" s="33">
        <v>42856</v>
      </c>
      <c r="H5" s="33">
        <v>42887</v>
      </c>
      <c r="I5" s="33">
        <v>42917</v>
      </c>
      <c r="J5" s="33">
        <v>42948</v>
      </c>
      <c r="K5" s="33">
        <v>42979</v>
      </c>
      <c r="L5" s="33">
        <v>43009</v>
      </c>
      <c r="M5" s="33">
        <v>43040</v>
      </c>
      <c r="N5" s="33">
        <v>43070</v>
      </c>
      <c r="O5" s="33">
        <v>43101</v>
      </c>
      <c r="P5" s="33">
        <v>43132</v>
      </c>
      <c r="Q5" s="33">
        <v>43160</v>
      </c>
      <c r="R5" s="33">
        <v>43191</v>
      </c>
      <c r="S5" s="33">
        <v>43221</v>
      </c>
      <c r="T5" s="33">
        <v>43252</v>
      </c>
      <c r="U5" s="33">
        <v>43282</v>
      </c>
      <c r="V5" s="33">
        <v>43313</v>
      </c>
      <c r="W5" s="33">
        <v>43344</v>
      </c>
      <c r="X5" s="33">
        <v>43374</v>
      </c>
      <c r="Y5" s="33">
        <v>43405</v>
      </c>
      <c r="Z5" s="33">
        <v>43435</v>
      </c>
      <c r="AA5" s="33">
        <v>43466</v>
      </c>
      <c r="AB5" s="33">
        <v>43497</v>
      </c>
      <c r="AC5" s="33">
        <v>43525</v>
      </c>
      <c r="AD5" s="33">
        <v>43556</v>
      </c>
      <c r="AE5" s="33">
        <v>43586</v>
      </c>
      <c r="AF5" s="33">
        <v>43617</v>
      </c>
      <c r="AG5" s="33">
        <v>43647</v>
      </c>
      <c r="AH5" s="33">
        <v>43678</v>
      </c>
      <c r="AI5" s="33">
        <v>43709</v>
      </c>
      <c r="AJ5" s="33">
        <v>43739</v>
      </c>
      <c r="AK5" s="33">
        <v>43770</v>
      </c>
      <c r="AL5" s="33">
        <v>43800</v>
      </c>
      <c r="AM5" s="63" t="s">
        <v>128</v>
      </c>
      <c r="AN5" s="62" t="s">
        <v>129</v>
      </c>
      <c r="AO5" s="64" t="s">
        <v>130</v>
      </c>
    </row>
    <row r="6" spans="1:41" x14ac:dyDescent="0.2">
      <c r="A6" s="34" t="s">
        <v>74</v>
      </c>
      <c r="C6" s="19">
        <v>485</v>
      </c>
      <c r="D6" s="19">
        <v>424</v>
      </c>
      <c r="E6" s="19">
        <v>457</v>
      </c>
      <c r="F6" s="19">
        <v>476</v>
      </c>
      <c r="G6" s="19">
        <v>487</v>
      </c>
      <c r="H6" s="19">
        <v>455</v>
      </c>
      <c r="I6" s="19">
        <v>488</v>
      </c>
      <c r="J6" s="19">
        <v>441</v>
      </c>
      <c r="K6" s="19">
        <v>405</v>
      </c>
      <c r="L6" s="19">
        <v>400</v>
      </c>
      <c r="M6" s="19">
        <v>394</v>
      </c>
      <c r="N6" s="19">
        <v>512</v>
      </c>
      <c r="O6" s="19">
        <v>557</v>
      </c>
      <c r="P6" s="19">
        <v>587</v>
      </c>
      <c r="Q6" s="19">
        <v>601</v>
      </c>
      <c r="R6" s="19">
        <v>569</v>
      </c>
      <c r="S6" s="19">
        <v>582</v>
      </c>
      <c r="T6" s="19">
        <v>566</v>
      </c>
      <c r="U6" s="19">
        <v>617</v>
      </c>
      <c r="V6" s="19">
        <v>598</v>
      </c>
      <c r="W6" s="19">
        <v>575</v>
      </c>
      <c r="X6" s="19">
        <v>572</v>
      </c>
      <c r="Y6" s="19">
        <v>589</v>
      </c>
      <c r="Z6" s="19">
        <v>618</v>
      </c>
      <c r="AA6" s="19">
        <v>637</v>
      </c>
      <c r="AB6" s="19">
        <v>669</v>
      </c>
      <c r="AC6" s="19">
        <v>700</v>
      </c>
      <c r="AD6" s="19">
        <v>685</v>
      </c>
      <c r="AE6" s="19">
        <v>638</v>
      </c>
      <c r="AF6" s="19">
        <v>693</v>
      </c>
      <c r="AG6" s="19">
        <v>669</v>
      </c>
      <c r="AH6" s="19">
        <v>666</v>
      </c>
      <c r="AI6" s="19">
        <v>685</v>
      </c>
      <c r="AJ6" s="19">
        <v>618</v>
      </c>
      <c r="AK6" s="19">
        <v>624</v>
      </c>
      <c r="AL6" s="19">
        <v>712</v>
      </c>
      <c r="AM6" s="65">
        <f>AVERAGE(AJ6:AL6)</f>
        <v>651.33333333333337</v>
      </c>
      <c r="AN6" s="66">
        <f>AVERAGE(AG6:AL6)</f>
        <v>662.33333333333337</v>
      </c>
      <c r="AO6" s="67">
        <f>AVERAGE(AA6:AL6)</f>
        <v>666.33333333333337</v>
      </c>
    </row>
    <row r="7" spans="1:41" x14ac:dyDescent="0.2">
      <c r="A7" s="34" t="s">
        <v>75</v>
      </c>
      <c r="C7" s="19">
        <v>333</v>
      </c>
      <c r="D7" s="19">
        <v>347</v>
      </c>
      <c r="E7" s="19">
        <v>311</v>
      </c>
      <c r="F7" s="19">
        <v>303</v>
      </c>
      <c r="G7" s="19">
        <v>289</v>
      </c>
      <c r="H7" s="19">
        <v>335</v>
      </c>
      <c r="I7" s="19">
        <v>308</v>
      </c>
      <c r="J7" s="19">
        <v>285</v>
      </c>
      <c r="K7" s="19">
        <v>321</v>
      </c>
      <c r="L7" s="19">
        <v>287</v>
      </c>
      <c r="M7" s="19">
        <v>286</v>
      </c>
      <c r="N7" s="19">
        <v>351</v>
      </c>
      <c r="O7" s="19">
        <v>355</v>
      </c>
      <c r="P7" s="19">
        <v>432</v>
      </c>
      <c r="Q7" s="19">
        <v>458</v>
      </c>
      <c r="R7" s="19">
        <v>388</v>
      </c>
      <c r="S7" s="19">
        <v>443</v>
      </c>
      <c r="T7" s="19">
        <v>402</v>
      </c>
      <c r="U7" s="19">
        <v>441</v>
      </c>
      <c r="V7" s="19">
        <v>389</v>
      </c>
      <c r="W7" s="19">
        <v>422</v>
      </c>
      <c r="X7" s="19">
        <v>433</v>
      </c>
      <c r="Y7" s="19">
        <v>454</v>
      </c>
      <c r="Z7" s="19">
        <v>461</v>
      </c>
      <c r="AA7" s="19">
        <v>453</v>
      </c>
      <c r="AB7" s="19">
        <v>341</v>
      </c>
      <c r="AC7" s="19">
        <v>240</v>
      </c>
      <c r="AD7" s="19">
        <v>379</v>
      </c>
      <c r="AE7" s="19">
        <v>382</v>
      </c>
      <c r="AF7" s="19">
        <v>314</v>
      </c>
      <c r="AG7" s="19">
        <v>281</v>
      </c>
      <c r="AH7" s="19">
        <v>267</v>
      </c>
      <c r="AI7" s="19">
        <v>298</v>
      </c>
      <c r="AJ7" s="19">
        <v>461</v>
      </c>
      <c r="AK7" s="19">
        <v>305</v>
      </c>
      <c r="AL7" s="19">
        <v>218</v>
      </c>
      <c r="AM7" s="65">
        <f t="shared" ref="AM7:AM22" si="0">AVERAGE(AJ7:AL7)</f>
        <v>328</v>
      </c>
      <c r="AN7" s="66">
        <f t="shared" ref="AN7:AN22" si="1">AVERAGE(AG7:AL7)</f>
        <v>305</v>
      </c>
      <c r="AO7" s="67">
        <f t="shared" ref="AO7:AO22" si="2">AVERAGE(AA7:AL7)</f>
        <v>328.25</v>
      </c>
    </row>
    <row r="8" spans="1:41" x14ac:dyDescent="0.2">
      <c r="A8" s="34" t="s">
        <v>76</v>
      </c>
      <c r="C8" s="19">
        <v>-208</v>
      </c>
      <c r="D8" s="19">
        <v>-199</v>
      </c>
      <c r="E8" s="19">
        <v>-194</v>
      </c>
      <c r="F8" s="19">
        <v>-226</v>
      </c>
      <c r="G8" s="19">
        <v>-194</v>
      </c>
      <c r="H8" s="19">
        <v>-234</v>
      </c>
      <c r="I8" s="19">
        <v>-225</v>
      </c>
      <c r="J8" s="19">
        <v>-227</v>
      </c>
      <c r="K8" s="19">
        <v>-194</v>
      </c>
      <c r="L8" s="19">
        <v>-181</v>
      </c>
      <c r="M8" s="19">
        <v>-184</v>
      </c>
      <c r="N8" s="19">
        <v>-241</v>
      </c>
      <c r="O8" s="19">
        <v>-281</v>
      </c>
      <c r="P8" s="19">
        <v>-257</v>
      </c>
      <c r="Q8" s="19">
        <v>-294</v>
      </c>
      <c r="R8" s="19">
        <v>-270</v>
      </c>
      <c r="S8" s="19">
        <v>-283</v>
      </c>
      <c r="T8" s="19">
        <v>-260</v>
      </c>
      <c r="U8" s="19">
        <v>-299</v>
      </c>
      <c r="V8" s="19">
        <v>-301</v>
      </c>
      <c r="W8" s="19">
        <v>-296</v>
      </c>
      <c r="X8" s="19">
        <v>-243</v>
      </c>
      <c r="Y8" s="19">
        <v>-249</v>
      </c>
      <c r="Z8" s="19">
        <v>-319</v>
      </c>
      <c r="AA8" s="19">
        <v>-414</v>
      </c>
      <c r="AB8" s="19">
        <v>-432</v>
      </c>
      <c r="AC8" s="19">
        <v>-424</v>
      </c>
      <c r="AD8" s="19">
        <v>-360</v>
      </c>
      <c r="AE8" s="19">
        <v>-420</v>
      </c>
      <c r="AF8" s="19">
        <v>-380</v>
      </c>
      <c r="AG8" s="19">
        <v>-400</v>
      </c>
      <c r="AH8" s="19">
        <v>-439</v>
      </c>
      <c r="AI8" s="19">
        <v>-410</v>
      </c>
      <c r="AJ8" s="19">
        <v>-348</v>
      </c>
      <c r="AK8" s="19">
        <v>-371</v>
      </c>
      <c r="AL8" s="19">
        <v>-441</v>
      </c>
      <c r="AM8" s="65">
        <f t="shared" si="0"/>
        <v>-386.66666666666669</v>
      </c>
      <c r="AN8" s="66">
        <f t="shared" si="1"/>
        <v>-401.5</v>
      </c>
      <c r="AO8" s="67">
        <f t="shared" si="2"/>
        <v>-403.25</v>
      </c>
    </row>
    <row r="9" spans="1:41" x14ac:dyDescent="0.2">
      <c r="A9" t="s">
        <v>77</v>
      </c>
      <c r="C9" s="19">
        <f t="shared" ref="C9:M9" si="3">SUM(C6:C8)</f>
        <v>610</v>
      </c>
      <c r="D9" s="19">
        <f t="shared" si="3"/>
        <v>572</v>
      </c>
      <c r="E9" s="19">
        <f t="shared" si="3"/>
        <v>574</v>
      </c>
      <c r="F9" s="19">
        <f t="shared" si="3"/>
        <v>553</v>
      </c>
      <c r="G9" s="19">
        <f t="shared" si="3"/>
        <v>582</v>
      </c>
      <c r="H9" s="19">
        <f t="shared" si="3"/>
        <v>556</v>
      </c>
      <c r="I9" s="19">
        <f t="shared" si="3"/>
        <v>571</v>
      </c>
      <c r="J9" s="19">
        <f t="shared" si="3"/>
        <v>499</v>
      </c>
      <c r="K9" s="19">
        <f t="shared" si="3"/>
        <v>532</v>
      </c>
      <c r="L9" s="19">
        <f t="shared" si="3"/>
        <v>506</v>
      </c>
      <c r="M9" s="19">
        <f t="shared" si="3"/>
        <v>496</v>
      </c>
      <c r="N9" s="19">
        <f>SUM(N6:N8)</f>
        <v>622</v>
      </c>
      <c r="O9" s="19">
        <f t="shared" ref="O9" si="4">SUM(O6:O8)</f>
        <v>631</v>
      </c>
      <c r="P9" s="19">
        <f t="shared" ref="P9" si="5">SUM(P6:P8)</f>
        <v>762</v>
      </c>
      <c r="Q9" s="19">
        <f t="shared" ref="Q9" si="6">SUM(Q6:Q8)</f>
        <v>765</v>
      </c>
      <c r="R9" s="19">
        <f t="shared" ref="R9" si="7">SUM(R6:R8)</f>
        <v>687</v>
      </c>
      <c r="S9" s="19">
        <f t="shared" ref="S9" si="8">SUM(S6:S8)</f>
        <v>742</v>
      </c>
      <c r="T9" s="19">
        <f t="shared" ref="T9" si="9">SUM(T6:T8)</f>
        <v>708</v>
      </c>
      <c r="U9" s="19">
        <f t="shared" ref="U9" si="10">SUM(U6:U8)</f>
        <v>759</v>
      </c>
      <c r="V9" s="19">
        <f t="shared" ref="V9" si="11">SUM(V6:V8)</f>
        <v>686</v>
      </c>
      <c r="W9" s="19">
        <f t="shared" ref="W9" si="12">SUM(W6:W8)</f>
        <v>701</v>
      </c>
      <c r="X9" s="19">
        <f t="shared" ref="X9" si="13">SUM(X6:X8)</f>
        <v>762</v>
      </c>
      <c r="Y9" s="19">
        <f t="shared" ref="Y9" si="14">SUM(Y6:Y8)</f>
        <v>794</v>
      </c>
      <c r="Z9" s="19">
        <f>SUM(Z6:Z8)</f>
        <v>760</v>
      </c>
      <c r="AA9" s="19">
        <f t="shared" ref="AA9" si="15">SUM(AA6:AA8)</f>
        <v>676</v>
      </c>
      <c r="AB9" s="19">
        <f t="shared" ref="AB9" si="16">SUM(AB6:AB8)</f>
        <v>578</v>
      </c>
      <c r="AC9" s="19">
        <f t="shared" ref="AC9" si="17">SUM(AC6:AC8)</f>
        <v>516</v>
      </c>
      <c r="AD9" s="19">
        <f t="shared" ref="AD9" si="18">SUM(AD6:AD8)</f>
        <v>704</v>
      </c>
      <c r="AE9" s="19">
        <f t="shared" ref="AE9" si="19">SUM(AE6:AE8)</f>
        <v>600</v>
      </c>
      <c r="AF9" s="19">
        <f t="shared" ref="AF9" si="20">SUM(AF6:AF8)</f>
        <v>627</v>
      </c>
      <c r="AG9" s="19">
        <f t="shared" ref="AG9" si="21">SUM(AG6:AG8)</f>
        <v>550</v>
      </c>
      <c r="AH9" s="19">
        <f t="shared" ref="AH9" si="22">SUM(AH6:AH8)</f>
        <v>494</v>
      </c>
      <c r="AI9" s="19">
        <f t="shared" ref="AI9" si="23">SUM(AI6:AI8)</f>
        <v>573</v>
      </c>
      <c r="AJ9" s="19">
        <f t="shared" ref="AJ9" si="24">SUM(AJ6:AJ8)</f>
        <v>731</v>
      </c>
      <c r="AK9" s="19">
        <f t="shared" ref="AK9" si="25">SUM(AK6:AK8)</f>
        <v>558</v>
      </c>
      <c r="AL9" s="19">
        <f>SUM(AL6:AL8)</f>
        <v>489</v>
      </c>
      <c r="AM9" s="65">
        <f t="shared" si="0"/>
        <v>592.66666666666663</v>
      </c>
      <c r="AN9" s="66">
        <f t="shared" si="1"/>
        <v>565.83333333333337</v>
      </c>
      <c r="AO9" s="67">
        <f t="shared" si="2"/>
        <v>591.33333333333337</v>
      </c>
    </row>
    <row r="10" spans="1:41" x14ac:dyDescent="0.2">
      <c r="A10" s="34" t="s">
        <v>78</v>
      </c>
      <c r="C10" s="19">
        <v>-55</v>
      </c>
      <c r="D10" s="19">
        <v>-61</v>
      </c>
      <c r="E10" s="19">
        <v>-55</v>
      </c>
      <c r="F10" s="19">
        <v>-53</v>
      </c>
      <c r="G10" s="19">
        <v>-48</v>
      </c>
      <c r="H10" s="19">
        <v>-48</v>
      </c>
      <c r="I10" s="19">
        <v>-55</v>
      </c>
      <c r="J10" s="19">
        <v>-49</v>
      </c>
      <c r="K10" s="19">
        <v>-58</v>
      </c>
      <c r="L10" s="19">
        <v>-56</v>
      </c>
      <c r="M10" s="19">
        <v>-51</v>
      </c>
      <c r="N10" s="19">
        <v>-64</v>
      </c>
      <c r="O10" s="19">
        <v>-65</v>
      </c>
      <c r="P10" s="19">
        <v>-67</v>
      </c>
      <c r="Q10" s="19">
        <v>-67</v>
      </c>
      <c r="R10" s="19">
        <v>-72</v>
      </c>
      <c r="S10" s="19">
        <v>-64</v>
      </c>
      <c r="T10" s="19">
        <v>-72</v>
      </c>
      <c r="U10" s="19">
        <v>-72</v>
      </c>
      <c r="V10" s="19">
        <v>-75</v>
      </c>
      <c r="W10" s="19">
        <v>-71</v>
      </c>
      <c r="X10" s="19">
        <v>-64</v>
      </c>
      <c r="Y10" s="19">
        <v>-73</v>
      </c>
      <c r="Z10" s="19">
        <v>-75</v>
      </c>
      <c r="AA10" s="19">
        <v>-75</v>
      </c>
      <c r="AB10" s="19">
        <v>-83</v>
      </c>
      <c r="AC10" s="19">
        <v>-81</v>
      </c>
      <c r="AD10" s="19">
        <v>-81</v>
      </c>
      <c r="AE10" s="19">
        <v>-79</v>
      </c>
      <c r="AF10" s="19">
        <v>-83</v>
      </c>
      <c r="AG10" s="19">
        <v>-77</v>
      </c>
      <c r="AH10" s="19">
        <v>-79</v>
      </c>
      <c r="AI10" s="19">
        <v>-79</v>
      </c>
      <c r="AJ10" s="19">
        <v>-79</v>
      </c>
      <c r="AK10" s="19">
        <v>-82</v>
      </c>
      <c r="AL10" s="19">
        <v>-84</v>
      </c>
      <c r="AM10" s="65">
        <f t="shared" si="0"/>
        <v>-81.666666666666671</v>
      </c>
      <c r="AN10" s="66">
        <f t="shared" si="1"/>
        <v>-80</v>
      </c>
      <c r="AO10" s="67">
        <f t="shared" si="2"/>
        <v>-80.166666666666671</v>
      </c>
    </row>
    <row r="11" spans="1:41" x14ac:dyDescent="0.2">
      <c r="A11" s="34" t="s">
        <v>80</v>
      </c>
      <c r="C11" s="19">
        <v>-17</v>
      </c>
      <c r="D11" s="19">
        <v>-16</v>
      </c>
      <c r="E11" s="19">
        <v>-17</v>
      </c>
      <c r="F11" s="19">
        <v>-16</v>
      </c>
      <c r="G11" s="19">
        <v>-17</v>
      </c>
      <c r="H11" s="19">
        <v>-16</v>
      </c>
      <c r="I11" s="19">
        <v>-20</v>
      </c>
      <c r="J11" s="19">
        <v>-20</v>
      </c>
      <c r="K11" s="19">
        <v>-19</v>
      </c>
      <c r="L11" s="19">
        <v>-19</v>
      </c>
      <c r="M11" s="19">
        <v>-19</v>
      </c>
      <c r="N11" s="19">
        <v>-21</v>
      </c>
      <c r="O11" s="19">
        <v>-31</v>
      </c>
      <c r="P11" s="19">
        <v>-31</v>
      </c>
      <c r="Q11" s="19">
        <v>-21</v>
      </c>
      <c r="R11" s="19">
        <v>-21</v>
      </c>
      <c r="S11" s="19">
        <v>-21</v>
      </c>
      <c r="T11" s="19">
        <v>-22</v>
      </c>
      <c r="U11" s="19">
        <v>-26</v>
      </c>
      <c r="V11" s="19">
        <v>-25</v>
      </c>
      <c r="W11" s="19">
        <v>-23</v>
      </c>
      <c r="X11" s="19">
        <v>-28</v>
      </c>
      <c r="Y11" s="19">
        <v>-22</v>
      </c>
      <c r="Z11" s="19">
        <v>-32</v>
      </c>
      <c r="AA11" s="19">
        <v>-30</v>
      </c>
      <c r="AB11" s="19">
        <v>-30</v>
      </c>
      <c r="AC11" s="19">
        <v>-31</v>
      </c>
      <c r="AD11" s="19">
        <v>-28</v>
      </c>
      <c r="AE11" s="19">
        <v>-28</v>
      </c>
      <c r="AF11" s="19">
        <v>-28</v>
      </c>
      <c r="AG11" s="19">
        <v>-27</v>
      </c>
      <c r="AH11" s="19">
        <v>-29</v>
      </c>
      <c r="AI11" s="19">
        <v>-27</v>
      </c>
      <c r="AJ11" s="19">
        <v>-31</v>
      </c>
      <c r="AK11" s="19">
        <v>-32</v>
      </c>
      <c r="AL11" s="19">
        <v>-27</v>
      </c>
      <c r="AM11" s="65">
        <f t="shared" si="0"/>
        <v>-30</v>
      </c>
      <c r="AN11" s="66">
        <f t="shared" si="1"/>
        <v>-28.833333333333332</v>
      </c>
      <c r="AO11" s="67">
        <f t="shared" si="2"/>
        <v>-29</v>
      </c>
    </row>
    <row r="12" spans="1:41" x14ac:dyDescent="0.2">
      <c r="A12" s="34" t="s">
        <v>79</v>
      </c>
      <c r="C12" s="19">
        <v>-43</v>
      </c>
      <c r="D12" s="19">
        <v>-46</v>
      </c>
      <c r="E12" s="19">
        <v>-40</v>
      </c>
      <c r="F12" s="19">
        <v>-45</v>
      </c>
      <c r="G12" s="19">
        <v>-38</v>
      </c>
      <c r="H12" s="19">
        <v>-40</v>
      </c>
      <c r="I12" s="19">
        <v>-35</v>
      </c>
      <c r="J12" s="19">
        <v>-45</v>
      </c>
      <c r="K12" s="19">
        <v>-44</v>
      </c>
      <c r="L12" s="19">
        <v>-42</v>
      </c>
      <c r="M12" s="19">
        <v>-35</v>
      </c>
      <c r="N12" s="19">
        <v>-46</v>
      </c>
      <c r="O12" s="19">
        <v>-45</v>
      </c>
      <c r="P12" s="19">
        <v>-40</v>
      </c>
      <c r="Q12" s="19">
        <v>-41</v>
      </c>
      <c r="R12" s="19">
        <v>-42</v>
      </c>
      <c r="S12" s="19">
        <v>-41</v>
      </c>
      <c r="T12" s="19">
        <v>-44</v>
      </c>
      <c r="U12" s="19">
        <v>-42</v>
      </c>
      <c r="V12" s="19">
        <v>-40</v>
      </c>
      <c r="W12" s="19">
        <v>-44</v>
      </c>
      <c r="X12" s="19">
        <v>-39</v>
      </c>
      <c r="Y12" s="19">
        <v>-46</v>
      </c>
      <c r="Z12" s="19">
        <v>-39</v>
      </c>
      <c r="AA12" s="19">
        <v>-40</v>
      </c>
      <c r="AB12" s="19">
        <v>-39</v>
      </c>
      <c r="AC12" s="19">
        <v>-40</v>
      </c>
      <c r="AD12" s="19">
        <v>-40</v>
      </c>
      <c r="AE12" s="19">
        <v>-39</v>
      </c>
      <c r="AF12" s="19">
        <v>-41</v>
      </c>
      <c r="AG12" s="19">
        <v>-41</v>
      </c>
      <c r="AH12" s="19">
        <v>-39</v>
      </c>
      <c r="AI12" s="19">
        <v>-41</v>
      </c>
      <c r="AJ12" s="19">
        <v>-39</v>
      </c>
      <c r="AK12" s="19">
        <v>-39</v>
      </c>
      <c r="AL12" s="19">
        <v>-41</v>
      </c>
      <c r="AM12" s="65">
        <f t="shared" si="0"/>
        <v>-39.666666666666664</v>
      </c>
      <c r="AN12" s="66">
        <f t="shared" si="1"/>
        <v>-40</v>
      </c>
      <c r="AO12" s="67">
        <f t="shared" si="2"/>
        <v>-39.916666666666664</v>
      </c>
    </row>
    <row r="13" spans="1:41" x14ac:dyDescent="0.2">
      <c r="A13" s="34" t="s">
        <v>81</v>
      </c>
      <c r="C13" s="19">
        <v>-178</v>
      </c>
      <c r="D13" s="19">
        <v>-208</v>
      </c>
      <c r="E13" s="19">
        <v>-170</v>
      </c>
      <c r="F13" s="19">
        <v>-191</v>
      </c>
      <c r="G13" s="19">
        <v>-188</v>
      </c>
      <c r="H13" s="19">
        <v>-175</v>
      </c>
      <c r="I13" s="19">
        <v>-180</v>
      </c>
      <c r="J13" s="19">
        <v>-167</v>
      </c>
      <c r="K13" s="19">
        <v>-166</v>
      </c>
      <c r="L13" s="19">
        <v>-192</v>
      </c>
      <c r="M13" s="19">
        <v>-193</v>
      </c>
      <c r="N13" s="19">
        <v>-210</v>
      </c>
      <c r="O13" s="19">
        <v>-280</v>
      </c>
      <c r="P13" s="19">
        <v>-233</v>
      </c>
      <c r="Q13" s="19">
        <v>-211</v>
      </c>
      <c r="R13" s="19">
        <v>-233</v>
      </c>
      <c r="S13" s="19">
        <v>-283</v>
      </c>
      <c r="T13" s="19">
        <v>-282</v>
      </c>
      <c r="U13" s="19">
        <v>-232</v>
      </c>
      <c r="V13" s="19">
        <v>-284</v>
      </c>
      <c r="W13" s="19">
        <v>-261</v>
      </c>
      <c r="X13" s="19">
        <v>-238</v>
      </c>
      <c r="Y13" s="19">
        <v>-255</v>
      </c>
      <c r="Z13" s="19">
        <v>-303</v>
      </c>
      <c r="AA13" s="19">
        <v>-303</v>
      </c>
      <c r="AB13" s="19">
        <v>-292</v>
      </c>
      <c r="AC13" s="19">
        <v>-231</v>
      </c>
      <c r="AD13" s="19">
        <v>-265</v>
      </c>
      <c r="AE13" s="19">
        <v>-240</v>
      </c>
      <c r="AF13" s="19">
        <v>-234</v>
      </c>
      <c r="AG13" s="19">
        <v>-271</v>
      </c>
      <c r="AH13" s="19">
        <v>-291</v>
      </c>
      <c r="AI13" s="19">
        <v>-294</v>
      </c>
      <c r="AJ13" s="19">
        <v>-291</v>
      </c>
      <c r="AK13" s="19">
        <v>-282</v>
      </c>
      <c r="AL13" s="19">
        <v>-231</v>
      </c>
      <c r="AM13" s="65">
        <f t="shared" si="0"/>
        <v>-268</v>
      </c>
      <c r="AN13" s="66">
        <f t="shared" si="1"/>
        <v>-276.66666666666669</v>
      </c>
      <c r="AO13" s="67">
        <f t="shared" si="2"/>
        <v>-268.75</v>
      </c>
    </row>
    <row r="14" spans="1:41" x14ac:dyDescent="0.2">
      <c r="A14" s="34" t="s">
        <v>82</v>
      </c>
      <c r="C14" s="19">
        <v>94</v>
      </c>
      <c r="D14" s="19">
        <v>95</v>
      </c>
      <c r="E14" s="19">
        <v>93</v>
      </c>
      <c r="F14" s="19">
        <v>88</v>
      </c>
      <c r="G14" s="19">
        <v>91</v>
      </c>
      <c r="H14" s="19">
        <v>103</v>
      </c>
      <c r="I14" s="19">
        <v>102</v>
      </c>
      <c r="J14" s="19">
        <v>88</v>
      </c>
      <c r="K14" s="19">
        <v>103</v>
      </c>
      <c r="L14" s="19">
        <v>101</v>
      </c>
      <c r="M14" s="19">
        <v>95</v>
      </c>
      <c r="N14" s="19">
        <v>103</v>
      </c>
      <c r="O14" s="19">
        <v>173</v>
      </c>
      <c r="P14" s="19">
        <v>112</v>
      </c>
      <c r="Q14" s="19">
        <v>119</v>
      </c>
      <c r="R14" s="19">
        <v>149</v>
      </c>
      <c r="S14" s="19">
        <v>148</v>
      </c>
      <c r="T14" s="19">
        <v>120</v>
      </c>
      <c r="U14" s="19">
        <v>109</v>
      </c>
      <c r="V14" s="19">
        <v>153</v>
      </c>
      <c r="W14" s="19">
        <v>117</v>
      </c>
      <c r="X14" s="19">
        <v>118</v>
      </c>
      <c r="Y14" s="19">
        <v>145</v>
      </c>
      <c r="Z14" s="19">
        <v>173</v>
      </c>
      <c r="AA14" s="19">
        <v>217</v>
      </c>
      <c r="AB14" s="19">
        <v>208</v>
      </c>
      <c r="AC14" s="19">
        <v>173</v>
      </c>
      <c r="AD14" s="19">
        <v>200</v>
      </c>
      <c r="AE14" s="19">
        <v>209</v>
      </c>
      <c r="AF14" s="19">
        <v>219</v>
      </c>
      <c r="AG14" s="19">
        <v>175</v>
      </c>
      <c r="AH14" s="19">
        <v>205</v>
      </c>
      <c r="AI14" s="19">
        <v>197</v>
      </c>
      <c r="AJ14" s="19">
        <v>186</v>
      </c>
      <c r="AK14" s="19">
        <v>205</v>
      </c>
      <c r="AL14" s="19">
        <v>219</v>
      </c>
      <c r="AM14" s="65">
        <f t="shared" si="0"/>
        <v>203.33333333333334</v>
      </c>
      <c r="AN14" s="66">
        <f t="shared" si="1"/>
        <v>197.83333333333334</v>
      </c>
      <c r="AO14" s="67">
        <f t="shared" si="2"/>
        <v>201.08333333333334</v>
      </c>
    </row>
    <row r="15" spans="1:41" x14ac:dyDescent="0.2">
      <c r="A15" s="39" t="s">
        <v>124</v>
      </c>
      <c r="B15" s="39"/>
      <c r="C15" s="37">
        <f t="shared" ref="C15:M15" si="26">SUM(C9:C14)</f>
        <v>411</v>
      </c>
      <c r="D15" s="37">
        <f t="shared" si="26"/>
        <v>336</v>
      </c>
      <c r="E15" s="37">
        <f t="shared" si="26"/>
        <v>385</v>
      </c>
      <c r="F15" s="37">
        <f t="shared" si="26"/>
        <v>336</v>
      </c>
      <c r="G15" s="37">
        <f t="shared" si="26"/>
        <v>382</v>
      </c>
      <c r="H15" s="37">
        <f t="shared" si="26"/>
        <v>380</v>
      </c>
      <c r="I15" s="37">
        <f t="shared" si="26"/>
        <v>383</v>
      </c>
      <c r="J15" s="37">
        <f t="shared" si="26"/>
        <v>306</v>
      </c>
      <c r="K15" s="37">
        <f t="shared" si="26"/>
        <v>348</v>
      </c>
      <c r="L15" s="37">
        <f t="shared" si="26"/>
        <v>298</v>
      </c>
      <c r="M15" s="37">
        <f t="shared" si="26"/>
        <v>293</v>
      </c>
      <c r="N15" s="37">
        <f>SUM(N9:N14)</f>
        <v>384</v>
      </c>
      <c r="O15" s="37">
        <f t="shared" ref="O15" si="27">SUM(O9:O14)</f>
        <v>383</v>
      </c>
      <c r="P15" s="37">
        <f t="shared" ref="P15" si="28">SUM(P9:P14)</f>
        <v>503</v>
      </c>
      <c r="Q15" s="37">
        <f t="shared" ref="Q15" si="29">SUM(Q9:Q14)</f>
        <v>544</v>
      </c>
      <c r="R15" s="37">
        <f t="shared" ref="R15" si="30">SUM(R9:R14)</f>
        <v>468</v>
      </c>
      <c r="S15" s="37">
        <f t="shared" ref="S15" si="31">SUM(S9:S14)</f>
        <v>481</v>
      </c>
      <c r="T15" s="37">
        <f t="shared" ref="T15" si="32">SUM(T9:T14)</f>
        <v>408</v>
      </c>
      <c r="U15" s="37">
        <f t="shared" ref="U15" si="33">SUM(U9:U14)</f>
        <v>496</v>
      </c>
      <c r="V15" s="37">
        <f t="shared" ref="V15" si="34">SUM(V9:V14)</f>
        <v>415</v>
      </c>
      <c r="W15" s="37">
        <f t="shared" ref="W15" si="35">SUM(W9:W14)</f>
        <v>419</v>
      </c>
      <c r="X15" s="37">
        <f t="shared" ref="X15" si="36">SUM(X9:X14)</f>
        <v>511</v>
      </c>
      <c r="Y15" s="37">
        <f t="shared" ref="Y15" si="37">SUM(Y9:Y14)</f>
        <v>543</v>
      </c>
      <c r="Z15" s="37">
        <f>SUM(Z9:Z14)</f>
        <v>484</v>
      </c>
      <c r="AA15" s="37">
        <f t="shared" ref="AA15" si="38">SUM(AA9:AA14)</f>
        <v>445</v>
      </c>
      <c r="AB15" s="37">
        <f t="shared" ref="AB15" si="39">SUM(AB9:AB14)</f>
        <v>342</v>
      </c>
      <c r="AC15" s="37">
        <f t="shared" ref="AC15" si="40">SUM(AC9:AC14)</f>
        <v>306</v>
      </c>
      <c r="AD15" s="37">
        <f t="shared" ref="AD15" si="41">SUM(AD9:AD14)</f>
        <v>490</v>
      </c>
      <c r="AE15" s="37">
        <f t="shared" ref="AE15" si="42">SUM(AE9:AE14)</f>
        <v>423</v>
      </c>
      <c r="AF15" s="37">
        <f t="shared" ref="AF15" si="43">SUM(AF9:AF14)</f>
        <v>460</v>
      </c>
      <c r="AG15" s="37">
        <f t="shared" ref="AG15" si="44">SUM(AG9:AG14)</f>
        <v>309</v>
      </c>
      <c r="AH15" s="37">
        <f t="shared" ref="AH15" si="45">SUM(AH9:AH14)</f>
        <v>261</v>
      </c>
      <c r="AI15" s="37">
        <f t="shared" ref="AI15" si="46">SUM(AI9:AI14)</f>
        <v>329</v>
      </c>
      <c r="AJ15" s="37">
        <f t="shared" ref="AJ15" si="47">SUM(AJ9:AJ14)</f>
        <v>477</v>
      </c>
      <c r="AK15" s="37">
        <f t="shared" ref="AK15" si="48">SUM(AK9:AK14)</f>
        <v>328</v>
      </c>
      <c r="AL15" s="37">
        <f>SUM(AL9:AL14)</f>
        <v>325</v>
      </c>
      <c r="AM15" s="59">
        <f t="shared" si="0"/>
        <v>376.66666666666669</v>
      </c>
      <c r="AN15" s="37">
        <f t="shared" si="1"/>
        <v>338.16666666666669</v>
      </c>
      <c r="AO15" s="60">
        <f t="shared" si="2"/>
        <v>374.58333333333331</v>
      </c>
    </row>
    <row r="16" spans="1:41" x14ac:dyDescent="0.2">
      <c r="A16" s="51" t="s">
        <v>102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65"/>
      <c r="AN16" s="66"/>
      <c r="AO16" s="67"/>
    </row>
    <row r="17" spans="1:41" x14ac:dyDescent="0.2">
      <c r="A17" t="s">
        <v>120</v>
      </c>
      <c r="C17" s="19">
        <f>-C11</f>
        <v>17</v>
      </c>
      <c r="D17" s="19">
        <f t="shared" ref="D17:AL17" si="49">-D11</f>
        <v>16</v>
      </c>
      <c r="E17" s="19">
        <f t="shared" si="49"/>
        <v>17</v>
      </c>
      <c r="F17" s="19">
        <f t="shared" si="49"/>
        <v>16</v>
      </c>
      <c r="G17" s="19">
        <f t="shared" si="49"/>
        <v>17</v>
      </c>
      <c r="H17" s="19">
        <f t="shared" si="49"/>
        <v>16</v>
      </c>
      <c r="I17" s="19">
        <f t="shared" si="49"/>
        <v>20</v>
      </c>
      <c r="J17" s="19">
        <f t="shared" si="49"/>
        <v>20</v>
      </c>
      <c r="K17" s="19">
        <f t="shared" si="49"/>
        <v>19</v>
      </c>
      <c r="L17" s="19">
        <f t="shared" si="49"/>
        <v>19</v>
      </c>
      <c r="M17" s="19">
        <f t="shared" si="49"/>
        <v>19</v>
      </c>
      <c r="N17" s="19">
        <f t="shared" si="49"/>
        <v>21</v>
      </c>
      <c r="O17" s="19">
        <f t="shared" si="49"/>
        <v>31</v>
      </c>
      <c r="P17" s="19">
        <f t="shared" si="49"/>
        <v>31</v>
      </c>
      <c r="Q17" s="19">
        <f t="shared" si="49"/>
        <v>21</v>
      </c>
      <c r="R17" s="19">
        <f t="shared" si="49"/>
        <v>21</v>
      </c>
      <c r="S17" s="19">
        <f t="shared" si="49"/>
        <v>21</v>
      </c>
      <c r="T17" s="19">
        <f t="shared" si="49"/>
        <v>22</v>
      </c>
      <c r="U17" s="19">
        <f t="shared" si="49"/>
        <v>26</v>
      </c>
      <c r="V17" s="19">
        <f t="shared" si="49"/>
        <v>25</v>
      </c>
      <c r="W17" s="19">
        <f t="shared" si="49"/>
        <v>23</v>
      </c>
      <c r="X17" s="19">
        <f t="shared" si="49"/>
        <v>28</v>
      </c>
      <c r="Y17" s="19">
        <f t="shared" si="49"/>
        <v>22</v>
      </c>
      <c r="Z17" s="19">
        <f t="shared" si="49"/>
        <v>32</v>
      </c>
      <c r="AA17" s="19">
        <f t="shared" si="49"/>
        <v>30</v>
      </c>
      <c r="AB17" s="19">
        <f t="shared" si="49"/>
        <v>30</v>
      </c>
      <c r="AC17" s="19">
        <f t="shared" si="49"/>
        <v>31</v>
      </c>
      <c r="AD17" s="19">
        <f t="shared" si="49"/>
        <v>28</v>
      </c>
      <c r="AE17" s="19">
        <f t="shared" si="49"/>
        <v>28</v>
      </c>
      <c r="AF17" s="19">
        <f t="shared" si="49"/>
        <v>28</v>
      </c>
      <c r="AG17" s="19">
        <f t="shared" si="49"/>
        <v>27</v>
      </c>
      <c r="AH17" s="19">
        <f t="shared" si="49"/>
        <v>29</v>
      </c>
      <c r="AI17" s="19">
        <f t="shared" si="49"/>
        <v>27</v>
      </c>
      <c r="AJ17" s="19">
        <f t="shared" si="49"/>
        <v>31</v>
      </c>
      <c r="AK17" s="19">
        <f t="shared" si="49"/>
        <v>32</v>
      </c>
      <c r="AL17" s="19">
        <f t="shared" si="49"/>
        <v>27</v>
      </c>
      <c r="AM17" s="65">
        <f t="shared" si="0"/>
        <v>30</v>
      </c>
      <c r="AN17" s="66">
        <f t="shared" si="1"/>
        <v>28.833333333333332</v>
      </c>
      <c r="AO17" s="67">
        <f t="shared" si="2"/>
        <v>29</v>
      </c>
    </row>
    <row r="18" spans="1:41" x14ac:dyDescent="0.2">
      <c r="A18" t="s">
        <v>121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46</v>
      </c>
      <c r="Y18" s="19">
        <v>46</v>
      </c>
      <c r="Z18" s="19">
        <v>46</v>
      </c>
      <c r="AA18" s="19">
        <v>46</v>
      </c>
      <c r="AB18" s="19">
        <v>46</v>
      </c>
      <c r="AC18" s="19">
        <v>46</v>
      </c>
      <c r="AD18" s="19">
        <v>46</v>
      </c>
      <c r="AE18" s="19">
        <v>46</v>
      </c>
      <c r="AF18" s="19">
        <v>125</v>
      </c>
      <c r="AG18" s="19">
        <v>125</v>
      </c>
      <c r="AH18" s="19">
        <v>125</v>
      </c>
      <c r="AI18" s="19">
        <v>125</v>
      </c>
      <c r="AJ18" s="19">
        <v>125</v>
      </c>
      <c r="AK18" s="19">
        <v>125</v>
      </c>
      <c r="AL18" s="19">
        <v>20</v>
      </c>
      <c r="AM18" s="65">
        <f t="shared" si="0"/>
        <v>90</v>
      </c>
      <c r="AN18" s="66">
        <f t="shared" si="1"/>
        <v>107.5</v>
      </c>
      <c r="AO18" s="67">
        <f t="shared" si="2"/>
        <v>83.333333333333329</v>
      </c>
    </row>
    <row r="19" spans="1:41" x14ac:dyDescent="0.2">
      <c r="A19" t="s">
        <v>122</v>
      </c>
      <c r="C19" s="19">
        <v>0</v>
      </c>
      <c r="D19" s="19">
        <v>0.999999999999998</v>
      </c>
      <c r="E19" s="19">
        <v>2.299999999999998</v>
      </c>
      <c r="F19" s="19">
        <v>3.5999999999999979</v>
      </c>
      <c r="G19" s="19">
        <v>4.8999999999999977</v>
      </c>
      <c r="H19" s="19">
        <v>6.1999999999999975</v>
      </c>
      <c r="I19" s="19">
        <v>7.4999999999999973</v>
      </c>
      <c r="J19" s="19">
        <v>8.7999999999999972</v>
      </c>
      <c r="K19" s="19">
        <v>10.099999999999998</v>
      </c>
      <c r="L19" s="19">
        <v>11.399999999999999</v>
      </c>
      <c r="M19" s="19">
        <v>12.7</v>
      </c>
      <c r="N19" s="19">
        <v>14</v>
      </c>
      <c r="O19" s="19">
        <v>0</v>
      </c>
      <c r="P19" s="19">
        <v>0</v>
      </c>
      <c r="Q19" s="19">
        <v>2</v>
      </c>
      <c r="R19" s="19">
        <v>4</v>
      </c>
      <c r="S19" s="19">
        <v>6</v>
      </c>
      <c r="T19" s="19">
        <v>8</v>
      </c>
      <c r="U19" s="19">
        <v>10</v>
      </c>
      <c r="V19" s="19">
        <v>12</v>
      </c>
      <c r="W19" s="19">
        <v>14</v>
      </c>
      <c r="X19" s="19">
        <v>16</v>
      </c>
      <c r="Y19" s="19">
        <v>18</v>
      </c>
      <c r="Z19" s="19">
        <v>20</v>
      </c>
      <c r="AA19" s="19">
        <v>0</v>
      </c>
      <c r="AB19" s="19">
        <v>1</v>
      </c>
      <c r="AC19" s="19">
        <v>2.5</v>
      </c>
      <c r="AD19" s="19">
        <v>4</v>
      </c>
      <c r="AE19" s="19">
        <v>5.5</v>
      </c>
      <c r="AF19" s="19">
        <v>7</v>
      </c>
      <c r="AG19" s="19">
        <v>8.5</v>
      </c>
      <c r="AH19" s="19">
        <v>10</v>
      </c>
      <c r="AI19" s="19">
        <v>11.5</v>
      </c>
      <c r="AJ19" s="19">
        <v>13</v>
      </c>
      <c r="AK19" s="19">
        <v>14.5</v>
      </c>
      <c r="AL19" s="19">
        <v>16</v>
      </c>
      <c r="AM19" s="65">
        <f t="shared" si="0"/>
        <v>14.5</v>
      </c>
      <c r="AN19" s="66">
        <f t="shared" si="1"/>
        <v>12.25</v>
      </c>
      <c r="AO19" s="67">
        <f t="shared" si="2"/>
        <v>7.791666666666667</v>
      </c>
    </row>
    <row r="20" spans="1:41" x14ac:dyDescent="0.2">
      <c r="A20" t="s">
        <v>123</v>
      </c>
      <c r="C20" s="19">
        <v>10</v>
      </c>
      <c r="D20" s="19">
        <v>10</v>
      </c>
      <c r="E20" s="19">
        <v>10</v>
      </c>
      <c r="F20" s="19">
        <v>10</v>
      </c>
      <c r="G20" s="19">
        <v>10</v>
      </c>
      <c r="H20" s="19">
        <v>10</v>
      </c>
      <c r="I20" s="19">
        <v>10</v>
      </c>
      <c r="J20" s="19">
        <v>10</v>
      </c>
      <c r="K20" s="19">
        <v>10</v>
      </c>
      <c r="L20" s="19">
        <v>10</v>
      </c>
      <c r="M20" s="19">
        <v>10</v>
      </c>
      <c r="N20" s="19">
        <v>10</v>
      </c>
      <c r="O20" s="19">
        <v>10</v>
      </c>
      <c r="P20" s="19">
        <v>10</v>
      </c>
      <c r="Q20" s="19">
        <v>10</v>
      </c>
      <c r="R20" s="19">
        <v>10</v>
      </c>
      <c r="S20" s="19">
        <v>10</v>
      </c>
      <c r="T20" s="19">
        <v>10</v>
      </c>
      <c r="U20" s="19">
        <v>10</v>
      </c>
      <c r="V20" s="19">
        <v>10</v>
      </c>
      <c r="W20" s="19">
        <v>10</v>
      </c>
      <c r="X20" s="19">
        <v>10</v>
      </c>
      <c r="Y20" s="19">
        <v>10</v>
      </c>
      <c r="Z20" s="19">
        <v>10</v>
      </c>
      <c r="AA20" s="19">
        <v>10</v>
      </c>
      <c r="AB20" s="19">
        <v>10</v>
      </c>
      <c r="AC20" s="19">
        <v>10</v>
      </c>
      <c r="AD20" s="19">
        <v>10</v>
      </c>
      <c r="AE20" s="19">
        <v>10</v>
      </c>
      <c r="AF20" s="19">
        <v>10</v>
      </c>
      <c r="AG20" s="19">
        <v>10</v>
      </c>
      <c r="AH20" s="19">
        <v>10</v>
      </c>
      <c r="AI20" s="19">
        <v>10</v>
      </c>
      <c r="AJ20" s="19">
        <v>10</v>
      </c>
      <c r="AK20" s="19">
        <v>10</v>
      </c>
      <c r="AL20" s="19">
        <v>10</v>
      </c>
      <c r="AM20" s="65">
        <f t="shared" si="0"/>
        <v>10</v>
      </c>
      <c r="AN20" s="66">
        <f t="shared" si="1"/>
        <v>10</v>
      </c>
      <c r="AO20" s="67">
        <f t="shared" si="2"/>
        <v>10</v>
      </c>
    </row>
    <row r="21" spans="1:41" s="6" customFormat="1" x14ac:dyDescent="0.2">
      <c r="A21" s="6" t="s">
        <v>125</v>
      </c>
      <c r="B21" s="61">
        <v>1</v>
      </c>
      <c r="C21" s="57">
        <f>SUM(C17:C20)</f>
        <v>27</v>
      </c>
      <c r="D21" s="57">
        <f t="shared" ref="D21:AL21" si="50">SUM(D17:D20)</f>
        <v>26.999999999999996</v>
      </c>
      <c r="E21" s="57">
        <f t="shared" si="50"/>
        <v>29.299999999999997</v>
      </c>
      <c r="F21" s="57">
        <f t="shared" si="50"/>
        <v>29.599999999999998</v>
      </c>
      <c r="G21" s="57">
        <f t="shared" si="50"/>
        <v>31.9</v>
      </c>
      <c r="H21" s="57">
        <f t="shared" si="50"/>
        <v>32.199999999999996</v>
      </c>
      <c r="I21" s="57">
        <f t="shared" si="50"/>
        <v>37.5</v>
      </c>
      <c r="J21" s="57">
        <f t="shared" si="50"/>
        <v>38.799999999999997</v>
      </c>
      <c r="K21" s="57">
        <f t="shared" si="50"/>
        <v>39.099999999999994</v>
      </c>
      <c r="L21" s="57">
        <f t="shared" si="50"/>
        <v>40.4</v>
      </c>
      <c r="M21" s="57">
        <f t="shared" si="50"/>
        <v>41.7</v>
      </c>
      <c r="N21" s="57">
        <f t="shared" si="50"/>
        <v>45</v>
      </c>
      <c r="O21" s="57">
        <f t="shared" si="50"/>
        <v>41</v>
      </c>
      <c r="P21" s="57">
        <f t="shared" si="50"/>
        <v>41</v>
      </c>
      <c r="Q21" s="57">
        <f t="shared" si="50"/>
        <v>33</v>
      </c>
      <c r="R21" s="57">
        <f t="shared" si="50"/>
        <v>35</v>
      </c>
      <c r="S21" s="57">
        <f t="shared" si="50"/>
        <v>37</v>
      </c>
      <c r="T21" s="57">
        <f t="shared" si="50"/>
        <v>40</v>
      </c>
      <c r="U21" s="57">
        <f t="shared" si="50"/>
        <v>46</v>
      </c>
      <c r="V21" s="57">
        <f t="shared" si="50"/>
        <v>47</v>
      </c>
      <c r="W21" s="57">
        <f t="shared" si="50"/>
        <v>47</v>
      </c>
      <c r="X21" s="57">
        <f t="shared" si="50"/>
        <v>100</v>
      </c>
      <c r="Y21" s="57">
        <f t="shared" si="50"/>
        <v>96</v>
      </c>
      <c r="Z21" s="57">
        <f t="shared" si="50"/>
        <v>108</v>
      </c>
      <c r="AA21" s="57">
        <f t="shared" si="50"/>
        <v>86</v>
      </c>
      <c r="AB21" s="57">
        <f t="shared" si="50"/>
        <v>87</v>
      </c>
      <c r="AC21" s="57">
        <f t="shared" si="50"/>
        <v>89.5</v>
      </c>
      <c r="AD21" s="57">
        <f t="shared" si="50"/>
        <v>88</v>
      </c>
      <c r="AE21" s="57">
        <f t="shared" si="50"/>
        <v>89.5</v>
      </c>
      <c r="AF21" s="57">
        <f t="shared" si="50"/>
        <v>170</v>
      </c>
      <c r="AG21" s="57">
        <f t="shared" si="50"/>
        <v>170.5</v>
      </c>
      <c r="AH21" s="57">
        <f t="shared" si="50"/>
        <v>174</v>
      </c>
      <c r="AI21" s="57">
        <f t="shared" si="50"/>
        <v>173.5</v>
      </c>
      <c r="AJ21" s="57">
        <f t="shared" si="50"/>
        <v>179</v>
      </c>
      <c r="AK21" s="57">
        <f t="shared" si="50"/>
        <v>181.5</v>
      </c>
      <c r="AL21" s="57">
        <f t="shared" si="50"/>
        <v>73</v>
      </c>
      <c r="AM21" s="68">
        <f t="shared" si="0"/>
        <v>144.5</v>
      </c>
      <c r="AN21" s="69">
        <f t="shared" si="1"/>
        <v>158.58333333333334</v>
      </c>
      <c r="AO21" s="70">
        <f t="shared" si="2"/>
        <v>130.125</v>
      </c>
    </row>
    <row r="22" spans="1:41" x14ac:dyDescent="0.2">
      <c r="A22" s="39" t="s">
        <v>126</v>
      </c>
      <c r="B22" s="39"/>
      <c r="C22" s="37">
        <f>SUM(C15,C21)</f>
        <v>438</v>
      </c>
      <c r="D22" s="37">
        <f t="shared" ref="D22:AL22" si="51">SUM(D15,D21)</f>
        <v>363</v>
      </c>
      <c r="E22" s="37">
        <f t="shared" si="51"/>
        <v>414.3</v>
      </c>
      <c r="F22" s="37">
        <f t="shared" si="51"/>
        <v>365.6</v>
      </c>
      <c r="G22" s="37">
        <f t="shared" si="51"/>
        <v>413.9</v>
      </c>
      <c r="H22" s="37">
        <f t="shared" si="51"/>
        <v>412.2</v>
      </c>
      <c r="I22" s="37">
        <f t="shared" si="51"/>
        <v>420.5</v>
      </c>
      <c r="J22" s="37">
        <f t="shared" si="51"/>
        <v>344.8</v>
      </c>
      <c r="K22" s="37">
        <f t="shared" si="51"/>
        <v>387.1</v>
      </c>
      <c r="L22" s="37">
        <f t="shared" si="51"/>
        <v>338.4</v>
      </c>
      <c r="M22" s="37">
        <f t="shared" si="51"/>
        <v>334.7</v>
      </c>
      <c r="N22" s="37">
        <f t="shared" si="51"/>
        <v>429</v>
      </c>
      <c r="O22" s="37">
        <f t="shared" si="51"/>
        <v>424</v>
      </c>
      <c r="P22" s="37">
        <f t="shared" si="51"/>
        <v>544</v>
      </c>
      <c r="Q22" s="37">
        <f t="shared" si="51"/>
        <v>577</v>
      </c>
      <c r="R22" s="37">
        <f t="shared" si="51"/>
        <v>503</v>
      </c>
      <c r="S22" s="37">
        <f t="shared" si="51"/>
        <v>518</v>
      </c>
      <c r="T22" s="37">
        <f t="shared" si="51"/>
        <v>448</v>
      </c>
      <c r="U22" s="37">
        <f t="shared" si="51"/>
        <v>542</v>
      </c>
      <c r="V22" s="37">
        <f t="shared" si="51"/>
        <v>462</v>
      </c>
      <c r="W22" s="37">
        <f t="shared" si="51"/>
        <v>466</v>
      </c>
      <c r="X22" s="37">
        <f t="shared" si="51"/>
        <v>611</v>
      </c>
      <c r="Y22" s="37">
        <f t="shared" si="51"/>
        <v>639</v>
      </c>
      <c r="Z22" s="37">
        <f t="shared" si="51"/>
        <v>592</v>
      </c>
      <c r="AA22" s="37">
        <f t="shared" si="51"/>
        <v>531</v>
      </c>
      <c r="AB22" s="37">
        <f t="shared" si="51"/>
        <v>429</v>
      </c>
      <c r="AC22" s="37">
        <f t="shared" si="51"/>
        <v>395.5</v>
      </c>
      <c r="AD22" s="37">
        <f t="shared" si="51"/>
        <v>578</v>
      </c>
      <c r="AE22" s="37">
        <f t="shared" si="51"/>
        <v>512.5</v>
      </c>
      <c r="AF22" s="37">
        <f t="shared" si="51"/>
        <v>630</v>
      </c>
      <c r="AG22" s="37">
        <f t="shared" si="51"/>
        <v>479.5</v>
      </c>
      <c r="AH22" s="37">
        <f t="shared" si="51"/>
        <v>435</v>
      </c>
      <c r="AI22" s="37">
        <f t="shared" si="51"/>
        <v>502.5</v>
      </c>
      <c r="AJ22" s="37">
        <f t="shared" si="51"/>
        <v>656</v>
      </c>
      <c r="AK22" s="37">
        <f t="shared" si="51"/>
        <v>509.5</v>
      </c>
      <c r="AL22" s="37">
        <f t="shared" si="51"/>
        <v>398</v>
      </c>
      <c r="AM22" s="59">
        <f t="shared" si="0"/>
        <v>521.16666666666663</v>
      </c>
      <c r="AN22" s="37">
        <f t="shared" si="1"/>
        <v>496.75</v>
      </c>
      <c r="AO22" s="60">
        <f t="shared" si="2"/>
        <v>504.70833333333331</v>
      </c>
    </row>
    <row r="23" spans="1:41" ht="17" customHeight="1" thickBot="1" x14ac:dyDescent="0.25">
      <c r="A23" s="18" t="s">
        <v>131</v>
      </c>
      <c r="B23" s="55">
        <v>2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71">
        <f>AL22-AM22</f>
        <v>-123.16666666666663</v>
      </c>
      <c r="AN23" s="72">
        <f>AL22-AN22</f>
        <v>-98.75</v>
      </c>
      <c r="AO23" s="73">
        <f>AL22-AO22</f>
        <v>-106.70833333333331</v>
      </c>
    </row>
    <row r="24" spans="1:41" x14ac:dyDescent="0.2">
      <c r="A24" s="16" t="str">
        <f>A2&amp;" - "&amp;A1</f>
        <v>Valuation drivers section - Normalized net working capital overview</v>
      </c>
    </row>
    <row r="25" spans="1:41" x14ac:dyDescent="0.2">
      <c r="A25" s="16" t="s">
        <v>44</v>
      </c>
    </row>
  </sheetData>
  <mergeCells count="1">
    <mergeCell ref="AM4:AO4"/>
  </mergeCells>
  <hyperlinks>
    <hyperlink ref="A3" location="Contents!A1" display="Back to: Table of contents" xr:uid="{1DA9B19F-B958-D54D-84F3-ECC4012F57A5}"/>
  </hyperlinks>
  <pageMargins left="0.70866141732283472" right="0.70866141732283472" top="1.3385826771653544" bottom="0.74803149606299213" header="0.31496062992125984" footer="0.31496062992125984"/>
  <pageSetup paperSize="9" scale="93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drawing r:id="rId1"/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730EE-3ACA-7144-A4D7-29ACA72DE3A8}">
  <sheetPr>
    <tabColor theme="7"/>
    <pageSetUpPr fitToPage="1"/>
  </sheetPr>
  <dimension ref="A1:C9"/>
  <sheetViews>
    <sheetView showGridLines="0" workbookViewId="0">
      <selection activeCell="B14" sqref="B14"/>
    </sheetView>
  </sheetViews>
  <sheetFormatPr baseColWidth="10" defaultRowHeight="16" x14ac:dyDescent="0.2"/>
  <cols>
    <col min="1" max="1" width="37" customWidth="1"/>
  </cols>
  <sheetData>
    <row r="1" spans="1:3" ht="21" x14ac:dyDescent="0.25">
      <c r="A1" s="2" t="s">
        <v>13</v>
      </c>
    </row>
    <row r="2" spans="1:3" ht="19" x14ac:dyDescent="0.25">
      <c r="A2" s="7"/>
    </row>
    <row r="3" spans="1:3" x14ac:dyDescent="0.2">
      <c r="A3" s="48"/>
    </row>
    <row r="4" spans="1:3" x14ac:dyDescent="0.2">
      <c r="A4" s="10" t="s">
        <v>32</v>
      </c>
      <c r="B4" s="10" t="s">
        <v>33</v>
      </c>
      <c r="C4" s="11" t="s">
        <v>34</v>
      </c>
    </row>
    <row r="5" spans="1:3" x14ac:dyDescent="0.2">
      <c r="A5" s="12" t="str">
        <f>'PL1'!A1</f>
        <v>Recast income statement</v>
      </c>
      <c r="B5" t="s">
        <v>14</v>
      </c>
      <c r="C5">
        <v>13</v>
      </c>
    </row>
    <row r="6" spans="1:3" x14ac:dyDescent="0.2">
      <c r="A6" s="12" t="str">
        <f>'PL2'!A1</f>
        <v>Revenue breakdown</v>
      </c>
      <c r="B6" t="s">
        <v>15</v>
      </c>
      <c r="C6">
        <v>14</v>
      </c>
    </row>
    <row r="7" spans="1:3" x14ac:dyDescent="0.2">
      <c r="A7" s="12" t="str">
        <f>'PL3'!A1</f>
        <v>Cost of sales breakdown</v>
      </c>
      <c r="B7" t="s">
        <v>16</v>
      </c>
      <c r="C7">
        <v>15</v>
      </c>
    </row>
    <row r="8" spans="1:3" x14ac:dyDescent="0.2">
      <c r="A8" s="12" t="str">
        <f>'PL4'!A1</f>
        <v>Salaries and other expenses breakdown</v>
      </c>
      <c r="B8" t="s">
        <v>17</v>
      </c>
      <c r="C8">
        <v>16</v>
      </c>
    </row>
    <row r="9" spans="1:3" x14ac:dyDescent="0.2">
      <c r="A9" s="12" t="str">
        <f>'PL5'!A1</f>
        <v>Other possible income statement analyses</v>
      </c>
      <c r="B9" t="s">
        <v>288</v>
      </c>
      <c r="C9">
        <v>17</v>
      </c>
    </row>
  </sheetData>
  <hyperlinks>
    <hyperlink ref="A5" location="'PL1'!A1" display="'PL1'!A1" xr:uid="{D780225C-33FC-3C46-B0B5-D0669DE1E8D4}"/>
    <hyperlink ref="A6" location="'PL2'!A1" display="'PL2'!A1" xr:uid="{FDEB2D31-23A9-984D-895A-AB0DB90CE782}"/>
    <hyperlink ref="A7" location="'PL3'!A1" display="'PL3'!A1" xr:uid="{A36D0EAF-9261-2E48-83B5-5091B684AFD6}"/>
    <hyperlink ref="A8" location="'PL4'!A1" display="'PL4'!A1" xr:uid="{93EFF83D-D746-4C46-AE13-5B7213110C75}"/>
    <hyperlink ref="A9" location="'PL5'!A1" display="'PL5'!A1" xr:uid="{FB8B8DDB-DFEA-4445-85C3-0D23E85D864A}"/>
  </hyperlinks>
  <pageMargins left="0.70866141732283472" right="0.70866141732283472" top="1.3385826771653544" bottom="0.74803149606299213" header="0.31496062992125984" footer="0.31496062992125984"/>
  <pageSetup paperSize="9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legacyDrawingHF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69151-9F18-294C-B13E-3227BC7B9BA0}">
  <sheetPr>
    <tabColor theme="7"/>
    <pageSetUpPr fitToPage="1"/>
  </sheetPr>
  <dimension ref="A1:M20"/>
  <sheetViews>
    <sheetView showGridLines="0" workbookViewId="0">
      <selection activeCell="B14" sqref="B14"/>
    </sheetView>
  </sheetViews>
  <sheetFormatPr baseColWidth="10" defaultRowHeight="16" x14ac:dyDescent="0.2"/>
  <cols>
    <col min="1" max="1" width="25.83203125" customWidth="1"/>
    <col min="2" max="2" width="5.1640625" customWidth="1"/>
    <col min="6" max="6" width="1.6640625" customWidth="1"/>
    <col min="10" max="10" width="1.83203125" customWidth="1"/>
  </cols>
  <sheetData>
    <row r="1" spans="1:13" ht="21" x14ac:dyDescent="0.25">
      <c r="A1" s="2" t="s">
        <v>132</v>
      </c>
    </row>
    <row r="2" spans="1:13" ht="19" x14ac:dyDescent="0.25">
      <c r="A2" s="7" t="str">
        <f>PL!A1</f>
        <v>Income statement section</v>
      </c>
    </row>
    <row r="3" spans="1:13" x14ac:dyDescent="0.2">
      <c r="A3" s="47" t="s">
        <v>101</v>
      </c>
    </row>
    <row r="4" spans="1:13" x14ac:dyDescent="0.2">
      <c r="A4" s="13"/>
      <c r="B4" s="13"/>
      <c r="C4" s="109" t="s">
        <v>136</v>
      </c>
      <c r="D4" s="109"/>
      <c r="E4" s="109"/>
      <c r="G4" s="110" t="s">
        <v>137</v>
      </c>
      <c r="H4" s="110"/>
      <c r="I4" s="110"/>
      <c r="K4" s="109" t="s">
        <v>138</v>
      </c>
      <c r="L4" s="109"/>
      <c r="M4" s="109"/>
    </row>
    <row r="5" spans="1:13" x14ac:dyDescent="0.2">
      <c r="A5" s="28" t="s">
        <v>39</v>
      </c>
      <c r="B5" s="50" t="s">
        <v>40</v>
      </c>
      <c r="C5" s="29" t="s">
        <v>41</v>
      </c>
      <c r="D5" s="29" t="s">
        <v>42</v>
      </c>
      <c r="E5" s="29" t="s">
        <v>43</v>
      </c>
      <c r="G5" s="29" t="s">
        <v>41</v>
      </c>
      <c r="H5" s="29" t="s">
        <v>42</v>
      </c>
      <c r="I5" s="29" t="s">
        <v>43</v>
      </c>
      <c r="K5" s="29" t="s">
        <v>41</v>
      </c>
      <c r="L5" s="29" t="s">
        <v>42</v>
      </c>
      <c r="M5" s="29" t="s">
        <v>43</v>
      </c>
    </row>
    <row r="6" spans="1:13" x14ac:dyDescent="0.2">
      <c r="A6" t="s">
        <v>45</v>
      </c>
      <c r="C6" s="19">
        <v>6821</v>
      </c>
      <c r="D6" s="19">
        <v>8163</v>
      </c>
      <c r="E6" s="19">
        <v>9103</v>
      </c>
      <c r="G6" s="58">
        <v>0</v>
      </c>
      <c r="H6" s="58">
        <v>0</v>
      </c>
      <c r="I6" s="58">
        <v>0</v>
      </c>
      <c r="K6" s="19">
        <f>SUM(C6,G6)</f>
        <v>6821</v>
      </c>
      <c r="L6" s="19">
        <f t="shared" ref="L6:L7" si="0">SUM(D6,H6)</f>
        <v>8163</v>
      </c>
      <c r="M6" s="19">
        <f t="shared" ref="M6:M7" si="1">SUM(E6,I6)</f>
        <v>9103</v>
      </c>
    </row>
    <row r="7" spans="1:13" x14ac:dyDescent="0.2">
      <c r="A7" t="s">
        <v>46</v>
      </c>
      <c r="C7" s="19">
        <v>-3931</v>
      </c>
      <c r="D7" s="19">
        <v>-4934</v>
      </c>
      <c r="E7" s="19">
        <v>-5103</v>
      </c>
      <c r="G7" s="58">
        <v>0</v>
      </c>
      <c r="H7" s="58">
        <v>0</v>
      </c>
      <c r="I7" s="58">
        <v>0</v>
      </c>
      <c r="K7" s="19">
        <f t="shared" ref="K7" si="2">SUM(C7,G7)</f>
        <v>-3931</v>
      </c>
      <c r="L7" s="19">
        <f t="shared" si="0"/>
        <v>-4934</v>
      </c>
      <c r="M7" s="19">
        <f t="shared" si="1"/>
        <v>-5103</v>
      </c>
    </row>
    <row r="8" spans="1:13" x14ac:dyDescent="0.2">
      <c r="A8" s="1" t="s">
        <v>47</v>
      </c>
      <c r="B8" s="1"/>
      <c r="C8" s="20">
        <f>SUM(C6:C7)</f>
        <v>2890</v>
      </c>
      <c r="D8" s="20">
        <f>SUM(D6:D7)</f>
        <v>3229</v>
      </c>
      <c r="E8" s="20">
        <f>SUM(E6:E7)</f>
        <v>4000</v>
      </c>
      <c r="G8" s="74">
        <f t="shared" ref="G8:I8" si="3">SUM(G6:G7)</f>
        <v>0</v>
      </c>
      <c r="H8" s="74">
        <f t="shared" si="3"/>
        <v>0</v>
      </c>
      <c r="I8" s="74">
        <f t="shared" si="3"/>
        <v>0</v>
      </c>
      <c r="K8" s="20">
        <f t="shared" ref="K8:M8" si="4">SUM(K6:K7)</f>
        <v>2890</v>
      </c>
      <c r="L8" s="20">
        <f t="shared" si="4"/>
        <v>3229</v>
      </c>
      <c r="M8" s="20">
        <f t="shared" si="4"/>
        <v>4000</v>
      </c>
    </row>
    <row r="9" spans="1:13" x14ac:dyDescent="0.2">
      <c r="A9" t="s">
        <v>48</v>
      </c>
      <c r="C9" s="19">
        <v>-1432</v>
      </c>
      <c r="D9" s="19">
        <v>-1574</v>
      </c>
      <c r="E9" s="19">
        <v>-2018</v>
      </c>
      <c r="G9" s="58">
        <v>0</v>
      </c>
      <c r="H9" s="58">
        <v>0</v>
      </c>
      <c r="I9" s="19">
        <f>AE!E13+AE!E14</f>
        <v>101</v>
      </c>
      <c r="K9" s="19">
        <f t="shared" ref="K9:K13" si="5">SUM(C9,G9)</f>
        <v>-1432</v>
      </c>
      <c r="L9" s="19">
        <f t="shared" ref="L9:L13" si="6">SUM(D9,H9)</f>
        <v>-1574</v>
      </c>
      <c r="M9" s="19">
        <f t="shared" ref="M9:M13" si="7">SUM(E9,I9)</f>
        <v>-1917</v>
      </c>
    </row>
    <row r="10" spans="1:13" x14ac:dyDescent="0.2">
      <c r="A10" t="s">
        <v>49</v>
      </c>
      <c r="C10" s="19">
        <v>-374</v>
      </c>
      <c r="D10" s="19">
        <v>-481</v>
      </c>
      <c r="E10" s="19">
        <v>-410</v>
      </c>
      <c r="G10" s="58">
        <v>0</v>
      </c>
      <c r="H10" s="58">
        <v>0</v>
      </c>
      <c r="I10" s="58">
        <v>0</v>
      </c>
      <c r="K10" s="19">
        <f t="shared" si="5"/>
        <v>-374</v>
      </c>
      <c r="L10" s="19">
        <f t="shared" si="6"/>
        <v>-481</v>
      </c>
      <c r="M10" s="19">
        <f t="shared" si="7"/>
        <v>-410</v>
      </c>
    </row>
    <row r="11" spans="1:13" x14ac:dyDescent="0.2">
      <c r="A11" t="s">
        <v>50</v>
      </c>
      <c r="C11" s="19">
        <v>-231</v>
      </c>
      <c r="D11" s="19">
        <v>-243</v>
      </c>
      <c r="E11" s="19">
        <v>-213</v>
      </c>
      <c r="G11" s="19">
        <f>AE!C17</f>
        <v>-21</v>
      </c>
      <c r="H11" s="58">
        <v>0</v>
      </c>
      <c r="I11" s="58">
        <v>0</v>
      </c>
      <c r="K11" s="19">
        <f t="shared" si="5"/>
        <v>-252</v>
      </c>
      <c r="L11" s="19">
        <f t="shared" si="6"/>
        <v>-243</v>
      </c>
      <c r="M11" s="19">
        <f t="shared" si="7"/>
        <v>-213</v>
      </c>
    </row>
    <row r="12" spans="1:13" x14ac:dyDescent="0.2">
      <c r="A12" t="s">
        <v>51</v>
      </c>
      <c r="C12" s="19">
        <v>-129</v>
      </c>
      <c r="D12" s="19">
        <v>-184</v>
      </c>
      <c r="E12" s="19">
        <v>-122</v>
      </c>
      <c r="G12" s="58">
        <v>0</v>
      </c>
      <c r="H12" s="19">
        <f>AE!D16</f>
        <v>46</v>
      </c>
      <c r="I12" s="19">
        <f>AE!E16</f>
        <v>79</v>
      </c>
      <c r="K12" s="19">
        <f t="shared" si="5"/>
        <v>-129</v>
      </c>
      <c r="L12" s="19">
        <f t="shared" si="6"/>
        <v>-138</v>
      </c>
      <c r="M12" s="19">
        <f t="shared" si="7"/>
        <v>-43</v>
      </c>
    </row>
    <row r="13" spans="1:13" x14ac:dyDescent="0.2">
      <c r="A13" t="s">
        <v>52</v>
      </c>
      <c r="C13" s="19">
        <v>-201</v>
      </c>
      <c r="D13" s="19">
        <v>-150</v>
      </c>
      <c r="E13" s="19">
        <v>-106</v>
      </c>
      <c r="G13" s="58">
        <v>0</v>
      </c>
      <c r="H13" s="19">
        <f>AE!D15</f>
        <v>100</v>
      </c>
      <c r="I13" s="19">
        <f>AE!E15</f>
        <v>-100</v>
      </c>
      <c r="K13" s="19">
        <f t="shared" si="5"/>
        <v>-201</v>
      </c>
      <c r="L13" s="19">
        <f t="shared" si="6"/>
        <v>-50</v>
      </c>
      <c r="M13" s="19">
        <f t="shared" si="7"/>
        <v>-206</v>
      </c>
    </row>
    <row r="14" spans="1:13" x14ac:dyDescent="0.2">
      <c r="A14" s="18" t="s">
        <v>53</v>
      </c>
      <c r="B14" s="18"/>
      <c r="C14" s="21">
        <f>SUM(C9:C13)</f>
        <v>-2367</v>
      </c>
      <c r="D14" s="21">
        <f>SUM(D9:D13)</f>
        <v>-2632</v>
      </c>
      <c r="E14" s="21">
        <f>SUM(E9:E13)</f>
        <v>-2869</v>
      </c>
      <c r="G14" s="21">
        <f t="shared" ref="G14:I14" si="8">SUM(G9:G13)</f>
        <v>-21</v>
      </c>
      <c r="H14" s="21">
        <f t="shared" si="8"/>
        <v>146</v>
      </c>
      <c r="I14" s="21">
        <f t="shared" si="8"/>
        <v>80</v>
      </c>
      <c r="K14" s="21">
        <f t="shared" ref="K14:M14" si="9">SUM(K9:K13)</f>
        <v>-2388</v>
      </c>
      <c r="L14" s="21">
        <f t="shared" si="9"/>
        <v>-2486</v>
      </c>
      <c r="M14" s="21">
        <f t="shared" si="9"/>
        <v>-2789</v>
      </c>
    </row>
    <row r="15" spans="1:13" x14ac:dyDescent="0.2">
      <c r="A15" s="36" t="s">
        <v>139</v>
      </c>
      <c r="B15" s="36"/>
      <c r="C15" s="37">
        <f>SUM(C8,C14)</f>
        <v>523</v>
      </c>
      <c r="D15" s="37">
        <f>SUM(D8,D14)</f>
        <v>597</v>
      </c>
      <c r="E15" s="37">
        <f>SUM(E8,E14)</f>
        <v>1131</v>
      </c>
      <c r="G15" s="37">
        <f t="shared" ref="G15:I15" si="10">SUM(G8,G14)</f>
        <v>-21</v>
      </c>
      <c r="H15" s="37">
        <f t="shared" si="10"/>
        <v>146</v>
      </c>
      <c r="I15" s="37">
        <f t="shared" si="10"/>
        <v>80</v>
      </c>
      <c r="K15" s="37">
        <f t="shared" ref="K15:M15" si="11">SUM(K8,K14)</f>
        <v>502</v>
      </c>
      <c r="L15" s="37">
        <f t="shared" si="11"/>
        <v>743</v>
      </c>
      <c r="M15" s="37">
        <f t="shared" si="11"/>
        <v>1211</v>
      </c>
    </row>
    <row r="16" spans="1:13" x14ac:dyDescent="0.2">
      <c r="A16" s="16" t="str">
        <f>A2&amp;" - "&amp;A1</f>
        <v>Income statement section - Recast income statement</v>
      </c>
    </row>
    <row r="17" spans="1:13" x14ac:dyDescent="0.2">
      <c r="A17" s="16" t="s">
        <v>44</v>
      </c>
    </row>
    <row r="19" spans="1:13" hidden="1" x14ac:dyDescent="0.2">
      <c r="A19" t="s">
        <v>140</v>
      </c>
      <c r="K19">
        <f>AE!C19</f>
        <v>502</v>
      </c>
      <c r="L19">
        <f>AE!D19</f>
        <v>743</v>
      </c>
      <c r="M19">
        <f>AE!E19</f>
        <v>1211</v>
      </c>
    </row>
    <row r="20" spans="1:13" hidden="1" x14ac:dyDescent="0.2">
      <c r="K20" s="44">
        <f>K15-K19</f>
        <v>0</v>
      </c>
      <c r="L20" s="44">
        <f>L15-L19</f>
        <v>0</v>
      </c>
      <c r="M20" s="44">
        <f>M15-M19</f>
        <v>0</v>
      </c>
    </row>
  </sheetData>
  <mergeCells count="3">
    <mergeCell ref="C4:E4"/>
    <mergeCell ref="G4:I4"/>
    <mergeCell ref="K4:M4"/>
  </mergeCells>
  <hyperlinks>
    <hyperlink ref="A3" location="Contents!A1" display="Back to: Table of contents" xr:uid="{C5B1A8E3-BD95-3F41-959D-8CB652BEDE51}"/>
    <hyperlink ref="G4:I4" location="AE!A1" display="Adjustments" xr:uid="{6F883F76-92C6-2B4B-9D6B-60F57CD020F0}"/>
  </hyperlinks>
  <pageMargins left="0.70866141732283472" right="0.70866141732283472" top="1.3385826771653544" bottom="0.74803149606299213" header="0.31496062992125984" footer="0.31496062992125984"/>
  <pageSetup paperSize="9" scale="93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legacyDrawingHF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954C1-09C7-E246-81D1-3C849A28C6EF}">
  <sheetPr>
    <tabColor theme="7"/>
    <pageSetUpPr fitToPage="1"/>
  </sheetPr>
  <dimension ref="A1:K36"/>
  <sheetViews>
    <sheetView showGridLines="0" zoomScaleNormal="100" workbookViewId="0">
      <selection activeCell="B14" sqref="B14"/>
    </sheetView>
  </sheetViews>
  <sheetFormatPr baseColWidth="10" defaultRowHeight="16" x14ac:dyDescent="0.2"/>
  <cols>
    <col min="1" max="1" width="25.83203125" customWidth="1"/>
    <col min="2" max="2" width="5.1640625" customWidth="1"/>
    <col min="6" max="6" width="2" customWidth="1"/>
    <col min="7" max="9" width="10.83203125" style="6"/>
    <col min="10" max="10" width="2.33203125" customWidth="1"/>
  </cols>
  <sheetData>
    <row r="1" spans="1:11" ht="21" x14ac:dyDescent="0.25">
      <c r="A1" s="2" t="s">
        <v>133</v>
      </c>
    </row>
    <row r="2" spans="1:11" ht="19" x14ac:dyDescent="0.25">
      <c r="A2" s="7" t="str">
        <f>PL!A1</f>
        <v>Income statement section</v>
      </c>
    </row>
    <row r="3" spans="1:11" x14ac:dyDescent="0.2">
      <c r="A3" s="47" t="s">
        <v>101</v>
      </c>
    </row>
    <row r="4" spans="1:11" x14ac:dyDescent="0.2">
      <c r="A4" s="47"/>
    </row>
    <row r="5" spans="1:11" x14ac:dyDescent="0.2">
      <c r="A5" s="10" t="s">
        <v>141</v>
      </c>
      <c r="B5" s="13"/>
      <c r="C5" s="13"/>
      <c r="D5" s="13"/>
      <c r="E5" s="13"/>
      <c r="G5" s="105" t="s">
        <v>148</v>
      </c>
      <c r="H5" s="105"/>
      <c r="I5" s="105"/>
      <c r="K5" s="1" t="s">
        <v>141</v>
      </c>
    </row>
    <row r="6" spans="1:11" x14ac:dyDescent="0.2">
      <c r="A6" s="28" t="s">
        <v>39</v>
      </c>
      <c r="B6" s="50" t="s">
        <v>40</v>
      </c>
      <c r="C6" s="33" t="s">
        <v>41</v>
      </c>
      <c r="D6" s="33" t="s">
        <v>42</v>
      </c>
      <c r="E6" s="33" t="s">
        <v>43</v>
      </c>
      <c r="G6" s="76" t="s">
        <v>41</v>
      </c>
      <c r="H6" s="76" t="s">
        <v>42</v>
      </c>
      <c r="I6" s="76" t="s">
        <v>43</v>
      </c>
    </row>
    <row r="7" spans="1:11" x14ac:dyDescent="0.2">
      <c r="A7" t="s">
        <v>142</v>
      </c>
      <c r="C7" s="19">
        <v>2719</v>
      </c>
      <c r="D7" s="19">
        <v>3272</v>
      </c>
      <c r="E7" s="19">
        <v>3816</v>
      </c>
      <c r="G7" s="25">
        <f>C7/C$13*100</f>
        <v>39.8621902946782</v>
      </c>
      <c r="H7" s="25">
        <f t="shared" ref="H7:H12" si="0">D7/D$13*100</f>
        <v>40.083302707337985</v>
      </c>
      <c r="I7" s="25">
        <f t="shared" ref="I7:I12" si="1">E7/E$13*100</f>
        <v>41.92024607272328</v>
      </c>
    </row>
    <row r="8" spans="1:11" x14ac:dyDescent="0.2">
      <c r="A8" t="s">
        <v>143</v>
      </c>
      <c r="C8" s="19">
        <v>1807</v>
      </c>
      <c r="D8" s="19">
        <v>1861</v>
      </c>
      <c r="E8" s="19">
        <v>1582</v>
      </c>
      <c r="G8" s="25">
        <f t="shared" ref="G8:G12" si="2">C8/C$13*100</f>
        <v>26.491716757073743</v>
      </c>
      <c r="H8" s="25">
        <f t="shared" si="0"/>
        <v>22.797990934705378</v>
      </c>
      <c r="I8" s="25">
        <f t="shared" si="1"/>
        <v>17.378886081511592</v>
      </c>
    </row>
    <row r="9" spans="1:11" x14ac:dyDescent="0.2">
      <c r="A9" t="s">
        <v>144</v>
      </c>
      <c r="C9" s="19">
        <v>1084</v>
      </c>
      <c r="D9" s="19">
        <v>1263</v>
      </c>
      <c r="E9" s="19">
        <v>1471</v>
      </c>
      <c r="G9" s="25">
        <f t="shared" si="2"/>
        <v>15.892097932854421</v>
      </c>
      <c r="H9" s="25">
        <f t="shared" si="0"/>
        <v>15.472252848217567</v>
      </c>
      <c r="I9" s="25">
        <f t="shared" si="1"/>
        <v>16.159507854553443</v>
      </c>
    </row>
    <row r="10" spans="1:11" x14ac:dyDescent="0.2">
      <c r="A10" t="s">
        <v>145</v>
      </c>
      <c r="C10" s="19">
        <v>521</v>
      </c>
      <c r="D10" s="19">
        <v>628</v>
      </c>
      <c r="E10" s="19">
        <v>756</v>
      </c>
      <c r="G10" s="25">
        <f t="shared" si="2"/>
        <v>7.6381762204955281</v>
      </c>
      <c r="H10" s="25">
        <f t="shared" si="0"/>
        <v>7.693250030625995</v>
      </c>
      <c r="I10" s="25">
        <f t="shared" si="1"/>
        <v>8.3049544106338562</v>
      </c>
    </row>
    <row r="11" spans="1:11" x14ac:dyDescent="0.2">
      <c r="A11" t="s">
        <v>146</v>
      </c>
      <c r="C11" s="19">
        <v>312</v>
      </c>
      <c r="D11" s="19">
        <v>571</v>
      </c>
      <c r="E11" s="19">
        <v>871</v>
      </c>
      <c r="G11" s="25">
        <f t="shared" si="2"/>
        <v>4.5741093681278402</v>
      </c>
      <c r="H11" s="25">
        <f t="shared" si="0"/>
        <v>6.9949773367634442</v>
      </c>
      <c r="I11" s="25">
        <f t="shared" si="1"/>
        <v>9.5682741953202246</v>
      </c>
    </row>
    <row r="12" spans="1:11" x14ac:dyDescent="0.2">
      <c r="A12" s="75" t="s">
        <v>147</v>
      </c>
      <c r="B12" s="75"/>
      <c r="C12" s="19">
        <v>378</v>
      </c>
      <c r="D12" s="19">
        <v>568</v>
      </c>
      <c r="E12" s="19">
        <v>607</v>
      </c>
      <c r="G12" s="25">
        <f t="shared" si="2"/>
        <v>5.541709426770268</v>
      </c>
      <c r="H12" s="25">
        <f t="shared" si="0"/>
        <v>6.9582261423496261</v>
      </c>
      <c r="I12" s="25">
        <f t="shared" si="1"/>
        <v>6.668131385257607</v>
      </c>
    </row>
    <row r="13" spans="1:11" x14ac:dyDescent="0.2">
      <c r="A13" s="39" t="s">
        <v>45</v>
      </c>
      <c r="B13" s="39"/>
      <c r="C13" s="37">
        <f>SUM(C7:C12)</f>
        <v>6821</v>
      </c>
      <c r="D13" s="37">
        <f>SUM(D7:D12)</f>
        <v>8163</v>
      </c>
      <c r="E13" s="37">
        <f>SUM(E7:E12)</f>
        <v>9103</v>
      </c>
      <c r="G13" s="38">
        <f>SUM(G7:G12)</f>
        <v>100</v>
      </c>
      <c r="H13" s="38">
        <f>SUM(H7:H12)</f>
        <v>99.999999999999986</v>
      </c>
      <c r="I13" s="38">
        <f>SUM(I7:I12)</f>
        <v>100</v>
      </c>
    </row>
    <row r="14" spans="1:11" x14ac:dyDescent="0.2">
      <c r="A14" s="16" t="str">
        <f>A2&amp;" - "&amp;A1</f>
        <v>Income statement section - Revenue breakdown</v>
      </c>
    </row>
    <row r="15" spans="1:11" x14ac:dyDescent="0.2">
      <c r="A15" s="16" t="s">
        <v>149</v>
      </c>
    </row>
    <row r="16" spans="1:11" x14ac:dyDescent="0.2">
      <c r="C16" s="44"/>
      <c r="D16" s="44"/>
      <c r="E16" s="44"/>
    </row>
    <row r="17" spans="1:11" x14ac:dyDescent="0.2">
      <c r="A17" s="10" t="s">
        <v>154</v>
      </c>
      <c r="B17" s="13"/>
      <c r="C17" s="13"/>
      <c r="D17" s="13"/>
      <c r="E17" s="13"/>
      <c r="G17" s="105" t="s">
        <v>148</v>
      </c>
      <c r="H17" s="105"/>
      <c r="I17" s="105"/>
      <c r="K17" s="1" t="s">
        <v>154</v>
      </c>
    </row>
    <row r="18" spans="1:11" x14ac:dyDescent="0.2">
      <c r="A18" s="28" t="s">
        <v>39</v>
      </c>
      <c r="B18" s="50" t="s">
        <v>40</v>
      </c>
      <c r="C18" s="33" t="s">
        <v>41</v>
      </c>
      <c r="D18" s="33" t="s">
        <v>42</v>
      </c>
      <c r="E18" s="33" t="s">
        <v>43</v>
      </c>
      <c r="G18" s="76" t="s">
        <v>41</v>
      </c>
      <c r="H18" s="76" t="s">
        <v>42</v>
      </c>
      <c r="I18" s="76" t="s">
        <v>43</v>
      </c>
    </row>
    <row r="19" spans="1:11" x14ac:dyDescent="0.2">
      <c r="A19" t="s">
        <v>155</v>
      </c>
      <c r="C19" s="19">
        <v>2859.3799846204552</v>
      </c>
      <c r="D19" s="19">
        <v>3253.9505937545814</v>
      </c>
      <c r="E19" s="19">
        <v>3648.7830454489767</v>
      </c>
      <c r="G19" s="25">
        <f>C19/C$13*100</f>
        <v>41.92024607272328</v>
      </c>
      <c r="H19" s="25">
        <f t="shared" ref="H19:H24" si="3">D19/D$13*100</f>
        <v>39.8621902946782</v>
      </c>
      <c r="I19" s="25">
        <f t="shared" ref="I19:I24" si="4">E19/E$13*100</f>
        <v>40.083302707337985</v>
      </c>
    </row>
    <row r="20" spans="1:11" x14ac:dyDescent="0.2">
      <c r="A20" t="s">
        <v>156</v>
      </c>
      <c r="C20" s="19">
        <v>1185.4138196199056</v>
      </c>
      <c r="D20" s="19">
        <v>2162.5188388799293</v>
      </c>
      <c r="E20" s="19">
        <v>2075.3011147862308</v>
      </c>
      <c r="G20" s="25">
        <f t="shared" ref="G20:G24" si="5">C20/C$13*100</f>
        <v>17.378886081511592</v>
      </c>
      <c r="H20" s="25">
        <f t="shared" si="3"/>
        <v>26.491716757073743</v>
      </c>
      <c r="I20" s="25">
        <f t="shared" si="4"/>
        <v>22.797990934705382</v>
      </c>
    </row>
    <row r="21" spans="1:11" x14ac:dyDescent="0.2">
      <c r="A21" t="s">
        <v>157</v>
      </c>
      <c r="C21" s="19">
        <v>1102.2400307590904</v>
      </c>
      <c r="D21" s="19">
        <v>1297.2719542589064</v>
      </c>
      <c r="E21" s="19">
        <v>1408.439176773245</v>
      </c>
      <c r="G21" s="25">
        <f t="shared" si="5"/>
        <v>16.159507854553443</v>
      </c>
      <c r="H21" s="25">
        <f t="shared" si="3"/>
        <v>15.892097932854421</v>
      </c>
      <c r="I21" s="25">
        <f t="shared" si="4"/>
        <v>15.472252848217567</v>
      </c>
    </row>
    <row r="22" spans="1:11" x14ac:dyDescent="0.2">
      <c r="A22" t="s">
        <v>160</v>
      </c>
      <c r="C22" s="19">
        <v>566.48094034933536</v>
      </c>
      <c r="D22" s="19">
        <v>623.50432487904993</v>
      </c>
      <c r="E22" s="19">
        <v>700.3165502878843</v>
      </c>
      <c r="G22" s="25">
        <f t="shared" si="5"/>
        <v>8.3049544106338562</v>
      </c>
      <c r="H22" s="25">
        <f t="shared" si="3"/>
        <v>7.6381762204955281</v>
      </c>
      <c r="I22" s="25">
        <f t="shared" si="4"/>
        <v>7.693250030625995</v>
      </c>
    </row>
    <row r="23" spans="1:11" x14ac:dyDescent="0.2">
      <c r="A23" t="s">
        <v>158</v>
      </c>
      <c r="C23" s="19">
        <v>652.65198286279247</v>
      </c>
      <c r="D23" s="19">
        <v>373.38454772027563</v>
      </c>
      <c r="E23" s="19">
        <v>636.75278696557632</v>
      </c>
      <c r="G23" s="25">
        <f t="shared" si="5"/>
        <v>9.5682741953202246</v>
      </c>
      <c r="H23" s="25">
        <f t="shared" si="3"/>
        <v>4.5741093681278402</v>
      </c>
      <c r="I23" s="25">
        <f t="shared" si="4"/>
        <v>6.9949773367634442</v>
      </c>
    </row>
    <row r="24" spans="1:11" x14ac:dyDescent="0.2">
      <c r="A24" s="75" t="s">
        <v>159</v>
      </c>
      <c r="B24" s="75"/>
      <c r="C24" s="19">
        <v>454.83324178842139</v>
      </c>
      <c r="D24" s="19">
        <v>452.36974050725695</v>
      </c>
      <c r="E24" s="19">
        <v>633.40732573808646</v>
      </c>
      <c r="G24" s="25">
        <f t="shared" si="5"/>
        <v>6.668131385257607</v>
      </c>
      <c r="H24" s="25">
        <f t="shared" si="3"/>
        <v>5.541709426770268</v>
      </c>
      <c r="I24" s="25">
        <f t="shared" si="4"/>
        <v>6.9582261423496261</v>
      </c>
    </row>
    <row r="25" spans="1:11" x14ac:dyDescent="0.2">
      <c r="A25" s="39" t="s">
        <v>45</v>
      </c>
      <c r="B25" s="39"/>
      <c r="C25" s="37">
        <f>SUM(C19:C24)</f>
        <v>6821</v>
      </c>
      <c r="D25" s="37">
        <f>SUM(D19:D24)</f>
        <v>8163</v>
      </c>
      <c r="E25" s="37">
        <f>SUM(E19:E24)</f>
        <v>9103</v>
      </c>
      <c r="G25" s="38">
        <f>SUM(G19:G24)</f>
        <v>100</v>
      </c>
      <c r="H25" s="38">
        <f>SUM(H19:H24)</f>
        <v>100</v>
      </c>
      <c r="I25" s="38">
        <f>SUM(I19:I24)</f>
        <v>100</v>
      </c>
    </row>
    <row r="26" spans="1:11" x14ac:dyDescent="0.2">
      <c r="A26" s="16" t="str">
        <f>A2&amp;" - "&amp;A1</f>
        <v>Income statement section - Revenue breakdown</v>
      </c>
      <c r="C26" s="44"/>
      <c r="D26" s="44"/>
      <c r="E26" s="44"/>
    </row>
    <row r="27" spans="1:11" x14ac:dyDescent="0.2">
      <c r="A27" s="16" t="s">
        <v>149</v>
      </c>
    </row>
    <row r="29" spans="1:11" x14ac:dyDescent="0.2">
      <c r="A29" s="10" t="s">
        <v>150</v>
      </c>
      <c r="B29" s="13"/>
      <c r="C29" s="13"/>
      <c r="D29" s="13"/>
      <c r="E29" s="13"/>
      <c r="G29" s="105" t="s">
        <v>148</v>
      </c>
      <c r="H29" s="105"/>
      <c r="I29" s="105"/>
      <c r="K29" s="1" t="s">
        <v>260</v>
      </c>
    </row>
    <row r="30" spans="1:11" x14ac:dyDescent="0.2">
      <c r="A30" s="28" t="s">
        <v>39</v>
      </c>
      <c r="B30" s="50" t="s">
        <v>40</v>
      </c>
      <c r="C30" s="33" t="s">
        <v>41</v>
      </c>
      <c r="D30" s="33" t="s">
        <v>42</v>
      </c>
      <c r="E30" s="33" t="s">
        <v>43</v>
      </c>
      <c r="G30" s="76" t="s">
        <v>41</v>
      </c>
      <c r="H30" s="76" t="s">
        <v>42</v>
      </c>
      <c r="I30" s="76" t="s">
        <v>43</v>
      </c>
    </row>
    <row r="31" spans="1:11" x14ac:dyDescent="0.2">
      <c r="A31" t="s">
        <v>151</v>
      </c>
      <c r="C31" s="19">
        <v>3710</v>
      </c>
      <c r="D31" s="19">
        <v>4618</v>
      </c>
      <c r="E31" s="19">
        <v>5716</v>
      </c>
      <c r="G31" s="25">
        <f>C31/C$34*100</f>
        <v>54.390851781263748</v>
      </c>
      <c r="H31" s="25">
        <f t="shared" ref="H31:H34" si="6">D31/D$34*100</f>
        <v>56.572338601004532</v>
      </c>
      <c r="I31" s="25">
        <f t="shared" ref="I31:I34" si="7">E31/E$34*100</f>
        <v>62.792485993628475</v>
      </c>
    </row>
    <row r="32" spans="1:11" x14ac:dyDescent="0.2">
      <c r="A32" t="s">
        <v>152</v>
      </c>
      <c r="C32" s="19">
        <v>2027</v>
      </c>
      <c r="D32" s="19">
        <v>2139</v>
      </c>
      <c r="E32" s="19">
        <v>1582</v>
      </c>
      <c r="G32" s="25">
        <f t="shared" ref="G32:G34" si="8">C32/C$34*100</f>
        <v>29.717050285881836</v>
      </c>
      <c r="H32" s="25">
        <f t="shared" si="6"/>
        <v>26.203601617052552</v>
      </c>
      <c r="I32" s="25">
        <f t="shared" si="7"/>
        <v>17.378886081511592</v>
      </c>
    </row>
    <row r="33" spans="1:9" x14ac:dyDescent="0.2">
      <c r="A33" t="s">
        <v>153</v>
      </c>
      <c r="C33" s="19">
        <v>1084</v>
      </c>
      <c r="D33" s="19">
        <v>1406</v>
      </c>
      <c r="E33" s="19">
        <v>1805</v>
      </c>
      <c r="G33" s="25">
        <f t="shared" si="8"/>
        <v>15.892097932854421</v>
      </c>
      <c r="H33" s="25">
        <f t="shared" si="6"/>
        <v>17.224059781942913</v>
      </c>
      <c r="I33" s="25">
        <f t="shared" si="7"/>
        <v>19.828627924859937</v>
      </c>
    </row>
    <row r="34" spans="1:9" x14ac:dyDescent="0.2">
      <c r="A34" s="39" t="s">
        <v>45</v>
      </c>
      <c r="B34" s="39"/>
      <c r="C34" s="37">
        <f>SUM(C31:C33)</f>
        <v>6821</v>
      </c>
      <c r="D34" s="37">
        <f>SUM(D31:D33)</f>
        <v>8163</v>
      </c>
      <c r="E34" s="37">
        <f>SUM(E31:E33)</f>
        <v>9103</v>
      </c>
      <c r="G34" s="38">
        <f t="shared" si="8"/>
        <v>100</v>
      </c>
      <c r="H34" s="38">
        <f t="shared" si="6"/>
        <v>100</v>
      </c>
      <c r="I34" s="38">
        <f t="shared" si="7"/>
        <v>100</v>
      </c>
    </row>
    <row r="35" spans="1:9" x14ac:dyDescent="0.2">
      <c r="A35" s="16" t="str">
        <f>A2&amp;" - "&amp;A1</f>
        <v>Income statement section - Revenue breakdown</v>
      </c>
      <c r="C35" s="44"/>
      <c r="D35" s="44"/>
      <c r="E35" s="44"/>
    </row>
    <row r="36" spans="1:9" x14ac:dyDescent="0.2">
      <c r="A36" s="16" t="s">
        <v>149</v>
      </c>
    </row>
  </sheetData>
  <mergeCells count="3">
    <mergeCell ref="G5:I5"/>
    <mergeCell ref="G17:I17"/>
    <mergeCell ref="G29:I29"/>
  </mergeCells>
  <hyperlinks>
    <hyperlink ref="A3" location="Contents!A1" display="Back to: Table of contents" xr:uid="{97512362-5A98-8F48-8C48-3A5FB6B32196}"/>
  </hyperlinks>
  <pageMargins left="0.70866141732283472" right="0.70866141732283472" top="1.3385826771653544" bottom="0.74803149606299213" header="0.31496062992125984" footer="0.31496062992125984"/>
  <pageSetup paperSize="9" scale="73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drawing r:id="rId1"/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53F57-B2AB-5C45-82DF-D83B4ADCEB86}">
  <sheetPr>
    <tabColor theme="7"/>
    <pageSetUpPr fitToPage="1"/>
  </sheetPr>
  <dimension ref="A1:F14"/>
  <sheetViews>
    <sheetView showGridLines="0" workbookViewId="0">
      <selection activeCell="B14" sqref="B14"/>
    </sheetView>
  </sheetViews>
  <sheetFormatPr baseColWidth="10" defaultRowHeight="16" x14ac:dyDescent="0.2"/>
  <cols>
    <col min="1" max="1" width="25.6640625" customWidth="1"/>
    <col min="2" max="2" width="5.1640625" customWidth="1"/>
  </cols>
  <sheetData>
    <row r="1" spans="1:6" ht="21" x14ac:dyDescent="0.25">
      <c r="A1" s="2" t="s">
        <v>134</v>
      </c>
    </row>
    <row r="2" spans="1:6" ht="19" x14ac:dyDescent="0.25">
      <c r="A2" s="7" t="str">
        <f>PL!A1</f>
        <v>Income statement section</v>
      </c>
    </row>
    <row r="3" spans="1:6" x14ac:dyDescent="0.2">
      <c r="A3" s="47" t="s">
        <v>101</v>
      </c>
    </row>
    <row r="4" spans="1:6" x14ac:dyDescent="0.2">
      <c r="A4" s="13"/>
      <c r="B4" s="13"/>
      <c r="C4" s="13"/>
      <c r="D4" s="13"/>
      <c r="E4" s="13"/>
    </row>
    <row r="5" spans="1:6" x14ac:dyDescent="0.2">
      <c r="A5" s="28" t="s">
        <v>39</v>
      </c>
      <c r="B5" s="50" t="s">
        <v>40</v>
      </c>
      <c r="C5" s="33" t="s">
        <v>41</v>
      </c>
      <c r="D5" s="33" t="s">
        <v>42</v>
      </c>
      <c r="E5" s="33" t="s">
        <v>43</v>
      </c>
    </row>
    <row r="6" spans="1:6" x14ac:dyDescent="0.2">
      <c r="A6" t="s">
        <v>161</v>
      </c>
      <c r="C6" s="19">
        <v>1671</v>
      </c>
      <c r="D6" s="19">
        <v>1781</v>
      </c>
      <c r="E6" s="19">
        <v>2716</v>
      </c>
      <c r="F6" s="19"/>
    </row>
    <row r="7" spans="1:6" x14ac:dyDescent="0.2">
      <c r="A7" t="s">
        <v>162</v>
      </c>
      <c r="C7" s="19">
        <v>1032</v>
      </c>
      <c r="D7" s="19">
        <v>1273</v>
      </c>
      <c r="E7" s="19">
        <v>1421</v>
      </c>
      <c r="F7" s="19"/>
    </row>
    <row r="8" spans="1:6" x14ac:dyDescent="0.2">
      <c r="A8" t="s">
        <v>163</v>
      </c>
      <c r="C8" s="19">
        <v>461</v>
      </c>
      <c r="D8" s="19">
        <v>612</v>
      </c>
      <c r="E8" s="19">
        <v>481</v>
      </c>
      <c r="F8" s="19"/>
    </row>
    <row r="9" spans="1:6" x14ac:dyDescent="0.2">
      <c r="A9" t="s">
        <v>164</v>
      </c>
      <c r="C9" s="19">
        <v>163</v>
      </c>
      <c r="D9" s="19">
        <v>310</v>
      </c>
      <c r="E9" s="19">
        <v>175</v>
      </c>
      <c r="F9" s="19"/>
    </row>
    <row r="10" spans="1:6" x14ac:dyDescent="0.2">
      <c r="A10" t="s">
        <v>165</v>
      </c>
      <c r="C10" s="19">
        <v>351</v>
      </c>
      <c r="D10" s="19">
        <v>471</v>
      </c>
      <c r="E10" s="19">
        <v>281</v>
      </c>
      <c r="F10" s="19"/>
    </row>
    <row r="11" spans="1:6" x14ac:dyDescent="0.2">
      <c r="A11" t="s">
        <v>166</v>
      </c>
      <c r="C11" s="19">
        <v>253</v>
      </c>
      <c r="D11" s="19">
        <v>487</v>
      </c>
      <c r="E11" s="19">
        <v>29</v>
      </c>
      <c r="F11" s="19"/>
    </row>
    <row r="12" spans="1:6" x14ac:dyDescent="0.2">
      <c r="A12" s="39" t="s">
        <v>46</v>
      </c>
      <c r="B12" s="39"/>
      <c r="C12" s="37">
        <f>SUM(C6:C11)</f>
        <v>3931</v>
      </c>
      <c r="D12" s="37">
        <f>SUM(D6:D11)</f>
        <v>4934</v>
      </c>
      <c r="E12" s="37">
        <f>SUM(E6:E11)</f>
        <v>5103</v>
      </c>
    </row>
    <row r="13" spans="1:6" x14ac:dyDescent="0.2">
      <c r="A13" s="16" t="str">
        <f>A2&amp;" - "&amp;A1</f>
        <v>Income statement section - Cost of sales breakdown</v>
      </c>
    </row>
    <row r="14" spans="1:6" x14ac:dyDescent="0.2">
      <c r="A14" s="16" t="s">
        <v>44</v>
      </c>
      <c r="C14" s="44"/>
      <c r="D14" s="44"/>
      <c r="E14" s="44"/>
    </row>
  </sheetData>
  <hyperlinks>
    <hyperlink ref="A3" location="Contents!A1" display="Back to: Table of contents" xr:uid="{EB61F860-8064-3346-93DA-FA81BBF2BDB1}"/>
  </hyperlinks>
  <pageMargins left="0.70866141732283472" right="0.70866141732283472" top="1.3385826771653544" bottom="0.74803149606299213" header="0.31496062992125984" footer="0.31496062992125984"/>
  <pageSetup paperSize="9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legacyDrawingHF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6F41A-067C-224E-9916-3BBD7C36E42D}">
  <sheetPr>
    <tabColor theme="7"/>
    <pageSetUpPr fitToPage="1"/>
  </sheetPr>
  <dimension ref="A1:K26"/>
  <sheetViews>
    <sheetView showGridLines="0" workbookViewId="0">
      <selection activeCell="B14" sqref="B14"/>
    </sheetView>
  </sheetViews>
  <sheetFormatPr baseColWidth="10" defaultRowHeight="16" x14ac:dyDescent="0.2"/>
  <cols>
    <col min="1" max="1" width="26.33203125" customWidth="1"/>
    <col min="2" max="2" width="5.1640625" customWidth="1"/>
  </cols>
  <sheetData>
    <row r="1" spans="1:11" ht="21" x14ac:dyDescent="0.25">
      <c r="A1" s="2" t="s">
        <v>135</v>
      </c>
    </row>
    <row r="2" spans="1:11" ht="19" x14ac:dyDescent="0.25">
      <c r="A2" s="7" t="str">
        <f>PL!A1</f>
        <v>Income statement section</v>
      </c>
    </row>
    <row r="3" spans="1:11" x14ac:dyDescent="0.2">
      <c r="A3" s="47" t="s">
        <v>101</v>
      </c>
    </row>
    <row r="4" spans="1:11" x14ac:dyDescent="0.2">
      <c r="A4" s="13"/>
      <c r="B4" s="13"/>
      <c r="C4" s="13"/>
      <c r="D4" s="13"/>
      <c r="E4" s="13"/>
      <c r="I4" s="44"/>
      <c r="J4" s="44"/>
      <c r="K4" s="44"/>
    </row>
    <row r="5" spans="1:11" x14ac:dyDescent="0.2">
      <c r="A5" s="28" t="s">
        <v>39</v>
      </c>
      <c r="B5" s="50" t="s">
        <v>40</v>
      </c>
      <c r="C5" s="33" t="s">
        <v>41</v>
      </c>
      <c r="D5" s="33" t="s">
        <v>42</v>
      </c>
      <c r="E5" s="33" t="s">
        <v>43</v>
      </c>
      <c r="I5" s="19"/>
      <c r="J5" s="19"/>
      <c r="K5" s="19"/>
    </row>
    <row r="6" spans="1:11" x14ac:dyDescent="0.2">
      <c r="A6" s="34" t="s">
        <v>168</v>
      </c>
      <c r="C6" s="19">
        <v>1021</v>
      </c>
      <c r="D6" s="19">
        <v>1162</v>
      </c>
      <c r="E6" s="19">
        <v>1482</v>
      </c>
      <c r="I6" s="19"/>
      <c r="J6" s="19"/>
      <c r="K6" s="19"/>
    </row>
    <row r="7" spans="1:11" x14ac:dyDescent="0.2">
      <c r="A7" s="34" t="s">
        <v>169</v>
      </c>
      <c r="C7" s="19">
        <v>319</v>
      </c>
      <c r="D7" s="19">
        <v>329</v>
      </c>
      <c r="E7" s="19">
        <v>461</v>
      </c>
      <c r="I7" s="19"/>
      <c r="J7" s="19"/>
      <c r="K7" s="19"/>
    </row>
    <row r="8" spans="1:11" x14ac:dyDescent="0.2">
      <c r="A8" s="34" t="s">
        <v>170</v>
      </c>
      <c r="C8" s="19">
        <v>92</v>
      </c>
      <c r="D8" s="19">
        <v>83</v>
      </c>
      <c r="E8" s="19">
        <v>75</v>
      </c>
      <c r="I8" s="19"/>
      <c r="J8" s="19"/>
      <c r="K8" s="19"/>
    </row>
    <row r="9" spans="1:11" s="1" customFormat="1" x14ac:dyDescent="0.2">
      <c r="A9" s="1" t="s">
        <v>48</v>
      </c>
      <c r="C9" s="20">
        <f>SUM(C6:C8)</f>
        <v>1432</v>
      </c>
      <c r="D9" s="20">
        <f t="shared" ref="D9:E9" si="0">SUM(D6:D8)</f>
        <v>1574</v>
      </c>
      <c r="E9" s="20">
        <f t="shared" si="0"/>
        <v>2018</v>
      </c>
      <c r="I9" s="20"/>
      <c r="J9" s="20"/>
      <c r="K9" s="20"/>
    </row>
    <row r="10" spans="1:11" x14ac:dyDescent="0.2">
      <c r="A10" s="34" t="s">
        <v>171</v>
      </c>
      <c r="C10" s="19">
        <v>325</v>
      </c>
      <c r="D10" s="19">
        <v>330</v>
      </c>
      <c r="E10" s="19">
        <v>335</v>
      </c>
    </row>
    <row r="11" spans="1:11" x14ac:dyDescent="0.2">
      <c r="A11" s="34" t="s">
        <v>172</v>
      </c>
      <c r="C11" s="19">
        <v>49</v>
      </c>
      <c r="D11" s="19">
        <v>151</v>
      </c>
      <c r="E11" s="19">
        <v>75</v>
      </c>
    </row>
    <row r="12" spans="1:11" s="1" customFormat="1" x14ac:dyDescent="0.2">
      <c r="A12" s="1" t="s">
        <v>49</v>
      </c>
      <c r="C12" s="20">
        <f>SUM(C10:C11)</f>
        <v>374</v>
      </c>
      <c r="D12" s="20">
        <f t="shared" ref="D12:E12" si="1">SUM(D10:D11)</f>
        <v>481</v>
      </c>
      <c r="E12" s="20">
        <f t="shared" si="1"/>
        <v>410</v>
      </c>
    </row>
    <row r="13" spans="1:11" x14ac:dyDescent="0.2">
      <c r="A13" s="34" t="s">
        <v>173</v>
      </c>
      <c r="C13" s="19">
        <v>162</v>
      </c>
      <c r="D13" s="19">
        <v>151</v>
      </c>
      <c r="E13" s="19">
        <v>174</v>
      </c>
    </row>
    <row r="14" spans="1:11" x14ac:dyDescent="0.2">
      <c r="A14" s="34" t="s">
        <v>175</v>
      </c>
      <c r="C14" s="19">
        <v>69</v>
      </c>
      <c r="D14" s="19">
        <v>58</v>
      </c>
      <c r="E14" s="19">
        <v>18</v>
      </c>
    </row>
    <row r="15" spans="1:11" x14ac:dyDescent="0.2">
      <c r="A15" s="34" t="s">
        <v>174</v>
      </c>
      <c r="C15" s="19">
        <v>0</v>
      </c>
      <c r="D15" s="19">
        <v>34</v>
      </c>
      <c r="E15" s="19">
        <v>21</v>
      </c>
    </row>
    <row r="16" spans="1:11" s="1" customFormat="1" x14ac:dyDescent="0.2">
      <c r="A16" s="1" t="s">
        <v>50</v>
      </c>
      <c r="C16" s="20">
        <f>SUM(C13:C15)</f>
        <v>231</v>
      </c>
      <c r="D16" s="20">
        <f t="shared" ref="D16:E16" si="2">SUM(D13:D15)</f>
        <v>243</v>
      </c>
      <c r="E16" s="20">
        <f t="shared" si="2"/>
        <v>213</v>
      </c>
    </row>
    <row r="17" spans="1:5" x14ac:dyDescent="0.2">
      <c r="A17" s="34" t="s">
        <v>176</v>
      </c>
      <c r="C17" s="19">
        <v>23</v>
      </c>
      <c r="D17" s="19">
        <v>36</v>
      </c>
      <c r="E17" s="19">
        <v>24</v>
      </c>
    </row>
    <row r="18" spans="1:5" x14ac:dyDescent="0.2">
      <c r="A18" s="34" t="s">
        <v>177</v>
      </c>
      <c r="C18" s="19">
        <v>52</v>
      </c>
      <c r="D18" s="19">
        <v>69</v>
      </c>
      <c r="E18" s="19">
        <v>43</v>
      </c>
    </row>
    <row r="19" spans="1:5" x14ac:dyDescent="0.2">
      <c r="A19" s="34" t="s">
        <v>52</v>
      </c>
      <c r="C19" s="19">
        <v>54</v>
      </c>
      <c r="D19" s="19">
        <v>79</v>
      </c>
      <c r="E19" s="19">
        <v>55</v>
      </c>
    </row>
    <row r="20" spans="1:5" s="1" customFormat="1" x14ac:dyDescent="0.2">
      <c r="A20" s="1" t="s">
        <v>51</v>
      </c>
      <c r="C20" s="20">
        <f>SUM(C17:C19)</f>
        <v>129</v>
      </c>
      <c r="D20" s="20">
        <f t="shared" ref="D20:E20" si="3">SUM(D17:D19)</f>
        <v>184</v>
      </c>
      <c r="E20" s="20">
        <f t="shared" si="3"/>
        <v>122</v>
      </c>
    </row>
    <row r="21" spans="1:5" x14ac:dyDescent="0.2">
      <c r="A21" s="34" t="s">
        <v>178</v>
      </c>
      <c r="C21" s="19">
        <v>162</v>
      </c>
      <c r="D21" s="19">
        <v>87</v>
      </c>
      <c r="E21" s="19">
        <v>46</v>
      </c>
    </row>
    <row r="22" spans="1:5" x14ac:dyDescent="0.2">
      <c r="A22" s="34" t="s">
        <v>52</v>
      </c>
      <c r="C22" s="19">
        <v>39</v>
      </c>
      <c r="D22" s="19">
        <v>63</v>
      </c>
      <c r="E22" s="19">
        <v>60</v>
      </c>
    </row>
    <row r="23" spans="1:5" s="1" customFormat="1" x14ac:dyDescent="0.2">
      <c r="A23" s="1" t="s">
        <v>52</v>
      </c>
      <c r="C23" s="20">
        <f>SUM(C21:C22)</f>
        <v>201</v>
      </c>
      <c r="D23" s="20">
        <f t="shared" ref="D23:E23" si="4">SUM(D21:D22)</f>
        <v>150</v>
      </c>
      <c r="E23" s="20">
        <f t="shared" si="4"/>
        <v>106</v>
      </c>
    </row>
    <row r="24" spans="1:5" x14ac:dyDescent="0.2">
      <c r="A24" s="39" t="s">
        <v>167</v>
      </c>
      <c r="B24" s="39"/>
      <c r="C24" s="37">
        <f>SUM(C9,C12,C16,C20,C23)</f>
        <v>2367</v>
      </c>
      <c r="D24" s="37">
        <f>SUM(D9,D12,D16,D20,D23)</f>
        <v>2632</v>
      </c>
      <c r="E24" s="37">
        <f>SUM(E9,E12,E16,E20,E23)</f>
        <v>2869</v>
      </c>
    </row>
    <row r="25" spans="1:5" x14ac:dyDescent="0.2">
      <c r="A25" s="16" t="str">
        <f>A2&amp;" - "&amp;A1</f>
        <v>Income statement section - Salaries and other expenses breakdown</v>
      </c>
    </row>
    <row r="26" spans="1:5" x14ac:dyDescent="0.2">
      <c r="A26" s="16" t="s">
        <v>44</v>
      </c>
    </row>
  </sheetData>
  <hyperlinks>
    <hyperlink ref="A3" location="Contents!A1" display="Back to: Table of contents" xr:uid="{DABD19FC-3EA7-A846-9A68-FD34CD5B90D4}"/>
  </hyperlinks>
  <pageMargins left="0.70866141732283472" right="0.70866141732283472" top="1.3385826771653544" bottom="0.74803149606299213" header="0.31496062992125984" footer="0.31496062992125984"/>
  <pageSetup paperSize="9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legacyDrawingHF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824B9-F6CC-4144-ABBE-15D83F7EAA2B}">
  <sheetPr>
    <tabColor theme="7"/>
    <pageSetUpPr fitToPage="1"/>
  </sheetPr>
  <dimension ref="A1:G14"/>
  <sheetViews>
    <sheetView showGridLines="0" workbookViewId="0">
      <selection activeCell="B14" sqref="B14"/>
    </sheetView>
  </sheetViews>
  <sheetFormatPr baseColWidth="10" defaultRowHeight="16" x14ac:dyDescent="0.2"/>
  <cols>
    <col min="1" max="1" width="49.6640625" customWidth="1"/>
  </cols>
  <sheetData>
    <row r="1" spans="1:7" ht="21" x14ac:dyDescent="0.25">
      <c r="A1" s="2" t="s">
        <v>286</v>
      </c>
    </row>
    <row r="2" spans="1:7" ht="19" x14ac:dyDescent="0.25">
      <c r="A2" s="7" t="str">
        <f>PL!A1</f>
        <v>Income statement section</v>
      </c>
    </row>
    <row r="3" spans="1:7" x14ac:dyDescent="0.2">
      <c r="A3" s="47" t="s">
        <v>101</v>
      </c>
    </row>
    <row r="4" spans="1:7" x14ac:dyDescent="0.2">
      <c r="A4" s="13"/>
      <c r="E4" s="44"/>
      <c r="F4" s="44"/>
      <c r="G4" s="44"/>
    </row>
    <row r="5" spans="1:7" x14ac:dyDescent="0.2">
      <c r="A5" s="28" t="s">
        <v>271</v>
      </c>
      <c r="E5" s="19"/>
      <c r="F5" s="19"/>
      <c r="G5" s="19"/>
    </row>
    <row r="6" spans="1:7" x14ac:dyDescent="0.2">
      <c r="A6" s="40" t="s">
        <v>289</v>
      </c>
      <c r="E6" s="19"/>
      <c r="F6" s="19"/>
      <c r="G6" s="19"/>
    </row>
    <row r="7" spans="1:7" x14ac:dyDescent="0.2">
      <c r="A7" s="40" t="s">
        <v>290</v>
      </c>
      <c r="E7" s="19"/>
      <c r="F7" s="19"/>
      <c r="G7" s="19"/>
    </row>
    <row r="8" spans="1:7" x14ac:dyDescent="0.2">
      <c r="A8" s="40" t="s">
        <v>294</v>
      </c>
      <c r="E8" s="19"/>
      <c r="F8" s="19"/>
      <c r="G8" s="19"/>
    </row>
    <row r="9" spans="1:7" s="1" customFormat="1" x14ac:dyDescent="0.2">
      <c r="A9" s="40" t="s">
        <v>292</v>
      </c>
      <c r="E9" s="20"/>
      <c r="F9" s="20"/>
      <c r="G9" s="20"/>
    </row>
    <row r="10" spans="1:7" x14ac:dyDescent="0.2">
      <c r="A10" s="40" t="s">
        <v>293</v>
      </c>
    </row>
    <row r="11" spans="1:7" x14ac:dyDescent="0.2">
      <c r="A11" s="40" t="s">
        <v>291</v>
      </c>
    </row>
    <row r="12" spans="1:7" s="1" customFormat="1" x14ac:dyDescent="0.2">
      <c r="A12" s="102" t="s">
        <v>295</v>
      </c>
    </row>
    <row r="13" spans="1:7" x14ac:dyDescent="0.2">
      <c r="A13" s="16" t="str">
        <f>A2&amp;" - "&amp;A1</f>
        <v>Income statement section - Other possible income statement analyses</v>
      </c>
    </row>
    <row r="14" spans="1:7" x14ac:dyDescent="0.2">
      <c r="A14" s="16" t="s">
        <v>287</v>
      </c>
    </row>
  </sheetData>
  <hyperlinks>
    <hyperlink ref="A3" location="Contents!A1" display="Back to: Table of contents" xr:uid="{2663E93B-BCC7-0A40-A086-2AE3CA3E30EE}"/>
  </hyperlinks>
  <pageMargins left="0.70866141732283472" right="0.70866141732283472" top="1.3385826771653544" bottom="0.74803149606299213" header="0.31496062992125984" footer="0.31496062992125984"/>
  <pageSetup paperSize="9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legacyDrawingHF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5F0EF-8141-C047-82AC-7FF6740F3396}">
  <sheetPr>
    <tabColor theme="9"/>
    <pageSetUpPr fitToPage="1"/>
  </sheetPr>
  <dimension ref="A1:C9"/>
  <sheetViews>
    <sheetView showGridLines="0" workbookViewId="0">
      <selection activeCell="B14" sqref="B14"/>
    </sheetView>
  </sheetViews>
  <sheetFormatPr baseColWidth="10" defaultRowHeight="16" x14ac:dyDescent="0.2"/>
  <cols>
    <col min="1" max="1" width="40.6640625" customWidth="1"/>
  </cols>
  <sheetData>
    <row r="1" spans="1:3" ht="21" x14ac:dyDescent="0.25">
      <c r="A1" s="2" t="s">
        <v>18</v>
      </c>
    </row>
    <row r="2" spans="1:3" ht="19" x14ac:dyDescent="0.25">
      <c r="A2" s="7"/>
    </row>
    <row r="3" spans="1:3" x14ac:dyDescent="0.2">
      <c r="A3" s="48"/>
    </row>
    <row r="4" spans="1:3" x14ac:dyDescent="0.2">
      <c r="A4" s="10" t="s">
        <v>32</v>
      </c>
      <c r="B4" s="10" t="s">
        <v>33</v>
      </c>
      <c r="C4" s="11" t="s">
        <v>34</v>
      </c>
    </row>
    <row r="5" spans="1:3" x14ac:dyDescent="0.2">
      <c r="A5" s="12" t="str">
        <f>'BS1'!A1</f>
        <v>Traditional balance sheet overview</v>
      </c>
      <c r="B5" t="s">
        <v>19</v>
      </c>
      <c r="C5">
        <v>19</v>
      </c>
    </row>
    <row r="6" spans="1:3" x14ac:dyDescent="0.2">
      <c r="A6" s="12" t="str">
        <f>'BS2'!A1</f>
        <v>Inventory breakdown</v>
      </c>
      <c r="B6" t="s">
        <v>20</v>
      </c>
      <c r="C6">
        <v>20</v>
      </c>
    </row>
    <row r="7" spans="1:3" x14ac:dyDescent="0.2">
      <c r="A7" s="12" t="str">
        <f>'BS3'!A1</f>
        <v>Trade receivable ageing</v>
      </c>
      <c r="B7" t="s">
        <v>21</v>
      </c>
      <c r="C7">
        <v>21</v>
      </c>
    </row>
    <row r="8" spans="1:3" x14ac:dyDescent="0.2">
      <c r="A8" s="12" t="str">
        <f>'BS4'!A1</f>
        <v>Trade payable ageing</v>
      </c>
      <c r="B8" t="s">
        <v>22</v>
      </c>
      <c r="C8">
        <v>22</v>
      </c>
    </row>
    <row r="9" spans="1:3" x14ac:dyDescent="0.2">
      <c r="A9" s="12" t="str">
        <f>'BS5'!A1</f>
        <v>Other possible balance sheet analyses</v>
      </c>
      <c r="B9" t="s">
        <v>285</v>
      </c>
      <c r="C9">
        <v>23</v>
      </c>
    </row>
  </sheetData>
  <hyperlinks>
    <hyperlink ref="A5" location="'BS1'!A1" display="'BS1'!A1" xr:uid="{C63C2083-6CB9-5A47-B928-B8552A3CA2CD}"/>
    <hyperlink ref="A6" location="'BS2'!A1" display="'BS2'!A1" xr:uid="{B297DDC7-B78C-F647-B314-ECC770F51A0F}"/>
    <hyperlink ref="A7" location="'BS3'!A1" display="'BS3'!A1" xr:uid="{FF860344-97F1-3946-A291-F039E33031AA}"/>
    <hyperlink ref="A8" location="'BS4'!A1" display="'BS4'!A1" xr:uid="{5B620D6C-8CE9-EB48-A766-23352BCDD453}"/>
    <hyperlink ref="A9" location="'BS5'!A1" display="'BS5'!A1" xr:uid="{B3F77CD2-CD48-EA44-B332-3A6457A9580C}"/>
  </hyperlinks>
  <pageMargins left="0.70866141732283472" right="0.70866141732283472" top="1.3385826771653544" bottom="0.74803149606299213" header="0.31496062992125984" footer="0.31496062992125984"/>
  <pageSetup paperSize="9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legacyDrawingHF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C51AB-6C6F-CF4A-B616-0143802556B2}">
  <sheetPr>
    <tabColor theme="9"/>
    <pageSetUpPr fitToPage="1"/>
  </sheetPr>
  <dimension ref="A1:E28"/>
  <sheetViews>
    <sheetView showGridLines="0" workbookViewId="0">
      <selection activeCell="B14" sqref="B14"/>
    </sheetView>
  </sheetViews>
  <sheetFormatPr baseColWidth="10" defaultRowHeight="16" x14ac:dyDescent="0.2"/>
  <cols>
    <col min="1" max="1" width="25.83203125" customWidth="1"/>
    <col min="2" max="2" width="5.1640625" customWidth="1"/>
  </cols>
  <sheetData>
    <row r="1" spans="1:5" ht="21" x14ac:dyDescent="0.25">
      <c r="A1" s="2" t="s">
        <v>100</v>
      </c>
    </row>
    <row r="2" spans="1:5" ht="19" x14ac:dyDescent="0.25">
      <c r="A2" s="7" t="str">
        <f>BS!A1</f>
        <v>Balance sheet section</v>
      </c>
    </row>
    <row r="3" spans="1:5" x14ac:dyDescent="0.2">
      <c r="A3" s="49" t="s">
        <v>101</v>
      </c>
    </row>
    <row r="4" spans="1:5" x14ac:dyDescent="0.2">
      <c r="A4" s="13"/>
      <c r="B4" s="13"/>
      <c r="C4" s="13"/>
      <c r="D4" s="13"/>
      <c r="E4" s="13"/>
    </row>
    <row r="5" spans="1:5" x14ac:dyDescent="0.2">
      <c r="A5" s="28" t="s">
        <v>39</v>
      </c>
      <c r="B5" s="50" t="s">
        <v>40</v>
      </c>
      <c r="C5" s="33">
        <v>43070</v>
      </c>
      <c r="D5" s="33">
        <v>43435</v>
      </c>
      <c r="E5" s="33">
        <v>43800</v>
      </c>
    </row>
    <row r="6" spans="1:5" x14ac:dyDescent="0.2">
      <c r="A6" t="s">
        <v>70</v>
      </c>
      <c r="C6" s="19">
        <v>2131</v>
      </c>
      <c r="D6" s="19">
        <v>1973</v>
      </c>
      <c r="E6" s="19">
        <v>2410</v>
      </c>
    </row>
    <row r="7" spans="1:5" x14ac:dyDescent="0.2">
      <c r="A7" t="s">
        <v>71</v>
      </c>
      <c r="C7" s="19">
        <v>231</v>
      </c>
      <c r="D7" s="19">
        <v>311</v>
      </c>
      <c r="E7" s="19">
        <v>313</v>
      </c>
    </row>
    <row r="8" spans="1:5" x14ac:dyDescent="0.2">
      <c r="A8" t="s">
        <v>72</v>
      </c>
      <c r="C8" s="19">
        <v>103</v>
      </c>
      <c r="D8" s="19">
        <v>87</v>
      </c>
      <c r="E8" s="19">
        <v>51</v>
      </c>
    </row>
    <row r="9" spans="1:5" x14ac:dyDescent="0.2">
      <c r="A9" s="42" t="s">
        <v>73</v>
      </c>
      <c r="B9" s="1"/>
      <c r="C9" s="20">
        <f>SUM(C6:C8)</f>
        <v>2465</v>
      </c>
      <c r="D9" s="20">
        <f>SUM(D6:D8)</f>
        <v>2371</v>
      </c>
      <c r="E9" s="20">
        <f>SUM(E6:E8)</f>
        <v>2774</v>
      </c>
    </row>
    <row r="10" spans="1:5" x14ac:dyDescent="0.2">
      <c r="A10" s="43" t="s">
        <v>74</v>
      </c>
      <c r="C10" s="19">
        <v>512</v>
      </c>
      <c r="D10" s="19">
        <v>618</v>
      </c>
      <c r="E10" s="19">
        <v>712</v>
      </c>
    </row>
    <row r="11" spans="1:5" x14ac:dyDescent="0.2">
      <c r="A11" s="40" t="s">
        <v>75</v>
      </c>
      <c r="C11" s="19">
        <v>351</v>
      </c>
      <c r="D11" s="19">
        <v>461</v>
      </c>
      <c r="E11" s="19">
        <v>218</v>
      </c>
    </row>
    <row r="12" spans="1:5" x14ac:dyDescent="0.2">
      <c r="A12" s="40" t="s">
        <v>82</v>
      </c>
      <c r="C12" s="19">
        <v>103</v>
      </c>
      <c r="D12" s="19">
        <v>173</v>
      </c>
      <c r="E12" s="19">
        <v>219</v>
      </c>
    </row>
    <row r="13" spans="1:5" x14ac:dyDescent="0.2">
      <c r="A13" s="35" t="s">
        <v>88</v>
      </c>
      <c r="B13" s="35"/>
      <c r="C13" s="19">
        <v>19</v>
      </c>
      <c r="D13" s="19">
        <v>313</v>
      </c>
      <c r="E13" s="19">
        <v>361</v>
      </c>
    </row>
    <row r="14" spans="1:5" x14ac:dyDescent="0.2">
      <c r="A14" s="10" t="s">
        <v>91</v>
      </c>
      <c r="B14" s="13"/>
      <c r="C14" s="20">
        <f>SUM(C10:C13)</f>
        <v>985</v>
      </c>
      <c r="D14" s="20">
        <f>SUM(D10:D13)</f>
        <v>1565</v>
      </c>
      <c r="E14" s="20">
        <f>SUM(E10:E13)</f>
        <v>1510</v>
      </c>
    </row>
    <row r="15" spans="1:5" x14ac:dyDescent="0.2">
      <c r="A15" s="39" t="s">
        <v>90</v>
      </c>
      <c r="B15" s="39"/>
      <c r="C15" s="37">
        <f>SUM(C9,C14)</f>
        <v>3450</v>
      </c>
      <c r="D15" s="37">
        <f>SUM(D9,D14)</f>
        <v>3936</v>
      </c>
      <c r="E15" s="37">
        <f>SUM(E9,E14)</f>
        <v>4284</v>
      </c>
    </row>
    <row r="16" spans="1:5" x14ac:dyDescent="0.2">
      <c r="A16" s="41" t="s">
        <v>84</v>
      </c>
      <c r="B16" s="1"/>
      <c r="C16" s="20">
        <v>2394</v>
      </c>
      <c r="D16" s="20">
        <v>2375</v>
      </c>
      <c r="E16" s="20">
        <v>2925</v>
      </c>
    </row>
    <row r="17" spans="1:5" x14ac:dyDescent="0.2">
      <c r="A17" t="s">
        <v>87</v>
      </c>
      <c r="C17" s="19">
        <v>123</v>
      </c>
      <c r="D17" s="19">
        <v>281</v>
      </c>
      <c r="E17" s="19">
        <v>116</v>
      </c>
    </row>
    <row r="18" spans="1:5" x14ac:dyDescent="0.2">
      <c r="A18" t="s">
        <v>89</v>
      </c>
      <c r="C18" s="19">
        <v>351</v>
      </c>
      <c r="D18" s="19">
        <v>512</v>
      </c>
      <c r="E18" s="19">
        <v>419</v>
      </c>
    </row>
    <row r="19" spans="1:5" x14ac:dyDescent="0.2">
      <c r="A19" s="1" t="s">
        <v>92</v>
      </c>
      <c r="B19" s="1"/>
      <c r="C19" s="20">
        <f>SUM(C17:C18)</f>
        <v>474</v>
      </c>
      <c r="D19" s="20">
        <f>SUM(D17:D18)</f>
        <v>793</v>
      </c>
      <c r="E19" s="20">
        <f>SUM(E17:E18)</f>
        <v>535</v>
      </c>
    </row>
    <row r="20" spans="1:5" x14ac:dyDescent="0.2">
      <c r="A20" t="s">
        <v>76</v>
      </c>
      <c r="C20" s="19">
        <v>241</v>
      </c>
      <c r="D20" s="19">
        <v>319</v>
      </c>
      <c r="E20" s="19">
        <v>441</v>
      </c>
    </row>
    <row r="21" spans="1:5" x14ac:dyDescent="0.2">
      <c r="A21" t="s">
        <v>78</v>
      </c>
      <c r="C21" s="19">
        <v>64</v>
      </c>
      <c r="D21" s="19">
        <v>75</v>
      </c>
      <c r="E21" s="19">
        <v>84</v>
      </c>
    </row>
    <row r="22" spans="1:5" x14ac:dyDescent="0.2">
      <c r="A22" t="s">
        <v>80</v>
      </c>
      <c r="C22" s="19">
        <v>21</v>
      </c>
      <c r="D22" s="19">
        <v>32</v>
      </c>
      <c r="E22" s="19">
        <v>27</v>
      </c>
    </row>
    <row r="23" spans="1:5" x14ac:dyDescent="0.2">
      <c r="A23" t="s">
        <v>79</v>
      </c>
      <c r="C23" s="19">
        <v>46</v>
      </c>
      <c r="D23" s="19">
        <v>39</v>
      </c>
      <c r="E23" s="19">
        <v>41</v>
      </c>
    </row>
    <row r="24" spans="1:5" x14ac:dyDescent="0.2">
      <c r="A24" t="s">
        <v>81</v>
      </c>
      <c r="C24" s="19">
        <v>210</v>
      </c>
      <c r="D24" s="19">
        <v>303</v>
      </c>
      <c r="E24" s="19">
        <v>231</v>
      </c>
    </row>
    <row r="25" spans="1:5" x14ac:dyDescent="0.2">
      <c r="A25" s="10" t="s">
        <v>93</v>
      </c>
      <c r="B25" s="10"/>
      <c r="C25" s="20">
        <f>SUM(C20:C24)</f>
        <v>582</v>
      </c>
      <c r="D25" s="20">
        <f>SUM(D20:D24)</f>
        <v>768</v>
      </c>
      <c r="E25" s="20">
        <f>SUM(E20:E24)</f>
        <v>824</v>
      </c>
    </row>
    <row r="26" spans="1:5" x14ac:dyDescent="0.2">
      <c r="A26" s="36" t="s">
        <v>94</v>
      </c>
      <c r="B26" s="36"/>
      <c r="C26" s="37">
        <f>SUM(C16,C19,C25)</f>
        <v>3450</v>
      </c>
      <c r="D26" s="37">
        <f>SUM(D16,D19,D25)</f>
        <v>3936</v>
      </c>
      <c r="E26" s="37">
        <f>SUM(E16,E19,E25)</f>
        <v>4284</v>
      </c>
    </row>
    <row r="27" spans="1:5" x14ac:dyDescent="0.2">
      <c r="A27" s="16" t="str">
        <f>A2&amp;" - "&amp;A1</f>
        <v>Balance sheet section - Traditional balance sheet overview</v>
      </c>
    </row>
    <row r="28" spans="1:5" x14ac:dyDescent="0.2">
      <c r="A28" s="16" t="s">
        <v>44</v>
      </c>
    </row>
  </sheetData>
  <hyperlinks>
    <hyperlink ref="A3" location="Contents!A1" display="Back to Table of contents" xr:uid="{13AFEE8B-BFA3-704F-A44A-471C7FC0FF0C}"/>
  </hyperlinks>
  <pageMargins left="0.70866141732283472" right="0.70866141732283472" top="1.3385826771653544" bottom="0.74803149606299213" header="0.31496062992125984" footer="0.31496062992125984"/>
  <pageSetup paperSize="9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02118-F58A-4B48-8CD0-0DB4D9A4797A}">
  <sheetPr>
    <tabColor theme="1"/>
    <pageSetUpPr fitToPage="1"/>
  </sheetPr>
  <dimension ref="A1:D32"/>
  <sheetViews>
    <sheetView showGridLines="0" zoomScaleNormal="100" workbookViewId="0">
      <selection activeCell="B14" sqref="B14"/>
    </sheetView>
  </sheetViews>
  <sheetFormatPr baseColWidth="10" defaultRowHeight="16" x14ac:dyDescent="0.2"/>
  <cols>
    <col min="1" max="1" width="26.6640625" customWidth="1"/>
    <col min="2" max="2" width="37.33203125" customWidth="1"/>
  </cols>
  <sheetData>
    <row r="1" spans="1:4" ht="21" x14ac:dyDescent="0.25">
      <c r="A1" s="2" t="s">
        <v>2</v>
      </c>
    </row>
    <row r="3" spans="1:4" x14ac:dyDescent="0.2">
      <c r="A3" s="10" t="s">
        <v>31</v>
      </c>
      <c r="B3" s="10" t="s">
        <v>32</v>
      </c>
      <c r="C3" s="10" t="s">
        <v>33</v>
      </c>
      <c r="D3" s="11" t="s">
        <v>34</v>
      </c>
    </row>
    <row r="4" spans="1:4" x14ac:dyDescent="0.2">
      <c r="A4" s="12" t="str">
        <f>Lead!A1</f>
        <v>Lead section</v>
      </c>
      <c r="B4" s="12" t="str">
        <f>'Lead-PL'!A1</f>
        <v>Lead income statement</v>
      </c>
      <c r="C4" t="s">
        <v>4</v>
      </c>
      <c r="D4">
        <v>4</v>
      </c>
    </row>
    <row r="5" spans="1:4" x14ac:dyDescent="0.2">
      <c r="B5" s="12" t="str">
        <f>'Lead-BS'!A1</f>
        <v>Lead balance sheet / capital employed</v>
      </c>
      <c r="C5" t="s">
        <v>5</v>
      </c>
      <c r="D5">
        <v>5</v>
      </c>
    </row>
    <row r="6" spans="1:4" x14ac:dyDescent="0.2">
      <c r="B6" s="12" t="str">
        <f>'Lead-CF'!A1</f>
        <v>Lead cash flow statement</v>
      </c>
      <c r="C6" t="s">
        <v>6</v>
      </c>
      <c r="D6">
        <v>6</v>
      </c>
    </row>
    <row r="8" spans="1:4" x14ac:dyDescent="0.2">
      <c r="A8" s="12" t="str">
        <f>VD!A1</f>
        <v>Valuation drivers section</v>
      </c>
      <c r="B8" s="12" t="str">
        <f>EVtoEQ!A1</f>
        <v>Enterprise value to equity value bridge</v>
      </c>
      <c r="C8" t="s">
        <v>302</v>
      </c>
      <c r="D8">
        <v>8</v>
      </c>
    </row>
    <row r="9" spans="1:4" x14ac:dyDescent="0.2">
      <c r="B9" s="12" t="str">
        <f>AE!A1</f>
        <v>Adjusted EBITDA</v>
      </c>
      <c r="C9" t="s">
        <v>36</v>
      </c>
      <c r="D9">
        <v>9</v>
      </c>
    </row>
    <row r="10" spans="1:4" x14ac:dyDescent="0.2">
      <c r="B10" s="12" t="str">
        <f>ND!A1</f>
        <v>Net debt overview</v>
      </c>
      <c r="C10" t="s">
        <v>37</v>
      </c>
      <c r="D10">
        <v>10</v>
      </c>
    </row>
    <row r="11" spans="1:4" x14ac:dyDescent="0.2">
      <c r="B11" s="12" t="str">
        <f>NWC!A1</f>
        <v>Normalized net working capital overview</v>
      </c>
      <c r="C11" t="s">
        <v>38</v>
      </c>
      <c r="D11">
        <v>11</v>
      </c>
    </row>
    <row r="13" spans="1:4" x14ac:dyDescent="0.2">
      <c r="A13" s="12" t="str">
        <f>PL!A1</f>
        <v>Income statement section</v>
      </c>
      <c r="B13" s="12" t="str">
        <f>'PL1'!A1</f>
        <v>Recast income statement</v>
      </c>
      <c r="C13" t="s">
        <v>14</v>
      </c>
      <c r="D13">
        <v>13</v>
      </c>
    </row>
    <row r="14" spans="1:4" x14ac:dyDescent="0.2">
      <c r="B14" s="12" t="str">
        <f>'PL2'!A1</f>
        <v>Revenue breakdown</v>
      </c>
      <c r="C14" t="s">
        <v>15</v>
      </c>
      <c r="D14">
        <v>14</v>
      </c>
    </row>
    <row r="15" spans="1:4" x14ac:dyDescent="0.2">
      <c r="B15" s="12" t="str">
        <f>'PL3'!A1</f>
        <v>Cost of sales breakdown</v>
      </c>
      <c r="C15" t="s">
        <v>16</v>
      </c>
      <c r="D15">
        <v>15</v>
      </c>
    </row>
    <row r="16" spans="1:4" x14ac:dyDescent="0.2">
      <c r="B16" s="12" t="str">
        <f>'PL4'!A1</f>
        <v>Salaries and other expenses breakdown</v>
      </c>
      <c r="C16" t="s">
        <v>17</v>
      </c>
      <c r="D16">
        <v>16</v>
      </c>
    </row>
    <row r="17" spans="1:4" x14ac:dyDescent="0.2">
      <c r="B17" s="12" t="str">
        <f>'PL5'!A1</f>
        <v>Other possible income statement analyses</v>
      </c>
      <c r="C17" t="s">
        <v>288</v>
      </c>
      <c r="D17">
        <v>17</v>
      </c>
    </row>
    <row r="19" spans="1:4" x14ac:dyDescent="0.2">
      <c r="A19" s="12" t="str">
        <f>BS!A1</f>
        <v>Balance sheet section</v>
      </c>
      <c r="B19" s="12" t="str">
        <f>'BS1'!A1</f>
        <v>Traditional balance sheet overview</v>
      </c>
      <c r="C19" t="s">
        <v>19</v>
      </c>
      <c r="D19">
        <v>19</v>
      </c>
    </row>
    <row r="20" spans="1:4" x14ac:dyDescent="0.2">
      <c r="B20" s="12" t="str">
        <f>'BS2'!A1</f>
        <v>Inventory breakdown</v>
      </c>
      <c r="C20" t="s">
        <v>20</v>
      </c>
      <c r="D20">
        <v>20</v>
      </c>
    </row>
    <row r="21" spans="1:4" x14ac:dyDescent="0.2">
      <c r="B21" s="12" t="str">
        <f>'BS3'!A1</f>
        <v>Trade receivable ageing</v>
      </c>
      <c r="C21" t="s">
        <v>21</v>
      </c>
      <c r="D21">
        <v>21</v>
      </c>
    </row>
    <row r="22" spans="1:4" x14ac:dyDescent="0.2">
      <c r="B22" s="12" t="str">
        <f>'BS4'!A1</f>
        <v>Trade payable ageing</v>
      </c>
      <c r="C22" t="s">
        <v>22</v>
      </c>
      <c r="D22">
        <v>22</v>
      </c>
    </row>
    <row r="23" spans="1:4" x14ac:dyDescent="0.2">
      <c r="B23" s="12" t="str">
        <f>'BS5'!A1</f>
        <v>Other possible balance sheet analyses</v>
      </c>
      <c r="C23" t="s">
        <v>285</v>
      </c>
      <c r="D23">
        <v>23</v>
      </c>
    </row>
    <row r="25" spans="1:4" x14ac:dyDescent="0.2">
      <c r="A25" s="12" t="str">
        <f>CF!A1</f>
        <v>Cash flow section</v>
      </c>
      <c r="B25" s="12" t="str">
        <f>'CF1'!A1</f>
        <v>Capex breakdown</v>
      </c>
      <c r="C25" t="s">
        <v>24</v>
      </c>
      <c r="D25">
        <v>25</v>
      </c>
    </row>
    <row r="26" spans="1:4" x14ac:dyDescent="0.2">
      <c r="B26" s="12" t="str">
        <f>'CF2'!A1</f>
        <v>Monthly net working capital overview</v>
      </c>
      <c r="C26" t="s">
        <v>25</v>
      </c>
      <c r="D26">
        <v>26</v>
      </c>
    </row>
    <row r="27" spans="1:4" x14ac:dyDescent="0.2">
      <c r="B27" s="12" t="str">
        <f>'CF3'!A1</f>
        <v>Monthly DSO, DIO and DPO overview</v>
      </c>
      <c r="C27" t="s">
        <v>26</v>
      </c>
      <c r="D27">
        <v>29</v>
      </c>
    </row>
    <row r="29" spans="1:4" x14ac:dyDescent="0.2">
      <c r="A29" s="12" t="str">
        <f>FC!A1</f>
        <v>Forecast section</v>
      </c>
      <c r="B29" s="12" t="str">
        <f>'FC1'!A1</f>
        <v>Income statement FY19 - FY25</v>
      </c>
      <c r="C29" t="s">
        <v>28</v>
      </c>
      <c r="D29">
        <v>32</v>
      </c>
    </row>
    <row r="30" spans="1:4" x14ac:dyDescent="0.2">
      <c r="B30" s="12" t="str">
        <f>'FC2'!A1</f>
        <v>Balance sheet Dec19 - Dec25</v>
      </c>
      <c r="C30" t="s">
        <v>29</v>
      </c>
      <c r="D30">
        <v>33</v>
      </c>
    </row>
    <row r="31" spans="1:4" x14ac:dyDescent="0.2">
      <c r="B31" s="12" t="str">
        <f>'FC3'!A1</f>
        <v>Cash flow FY19 - FY25</v>
      </c>
      <c r="C31" t="s">
        <v>30</v>
      </c>
      <c r="D31">
        <v>35</v>
      </c>
    </row>
    <row r="32" spans="1:4" x14ac:dyDescent="0.2">
      <c r="B32" s="12" t="str">
        <f>'FC4'!A1</f>
        <v>Forecast assumptions</v>
      </c>
      <c r="C32" t="s">
        <v>269</v>
      </c>
      <c r="D32">
        <v>36</v>
      </c>
    </row>
  </sheetData>
  <hyperlinks>
    <hyperlink ref="A4" location="Lead!A1" display="Lead!A1" xr:uid="{68A5C838-4BBF-5641-9927-999E2B0B961F}"/>
    <hyperlink ref="B4" location="'Lead-PL'!A1" display="'Lead-PL'!A1" xr:uid="{26365DE8-AEF2-B842-BFFD-49027C4F36A1}"/>
    <hyperlink ref="B5" location="'Lead-BS'!A1" display="'Lead-BS'!A1" xr:uid="{169408C1-EEA6-CE41-B2FD-5A98919F8F74}"/>
    <hyperlink ref="B6" location="'Lead-CF'!A1" display="'Lead-CF'!A1" xr:uid="{C0F67295-EF03-304E-A13B-158814A5CFAF}"/>
    <hyperlink ref="A8" location="VD!A1" display="VD!A1" xr:uid="{A4F505BE-FDE6-C245-A782-C8DF6DDB7BB1}"/>
    <hyperlink ref="B9" location="AE!A1" display="AE!A1" xr:uid="{0203EB03-B6C9-7345-83DE-971CBC044355}"/>
    <hyperlink ref="B10" location="ND!A1" display="ND!A1" xr:uid="{21F3A13A-5570-374F-836B-8FC3A3839712}"/>
    <hyperlink ref="B11" location="NWC!A1" display="NWC!A1" xr:uid="{BFA25DEE-00C4-6344-8F0C-8D4FE73C3E8D}"/>
    <hyperlink ref="A13" location="PL!A1" display="PL!A1" xr:uid="{FE79DF2A-572A-8B40-8ECF-20E752EDF4EB}"/>
    <hyperlink ref="B13" location="'PL1'!A1" display="'PL1'!A1" xr:uid="{34970681-132E-A14B-A29D-E898CA0C6524}"/>
    <hyperlink ref="B14" location="'PL2'!A1" display="'PL2'!A1" xr:uid="{B9CCD569-47E5-B24C-BA92-C91B7243CC60}"/>
    <hyperlink ref="B15" location="'PL3'!A1" display="'PL3'!A1" xr:uid="{0CA07249-66C8-CA4B-AAA5-45EDD7707D4E}"/>
    <hyperlink ref="B16" location="'PL4'!A1" display="'PL4'!A1" xr:uid="{8BBDFA50-185A-DB4E-8952-B828D06A5FB2}"/>
    <hyperlink ref="A19" location="BS!A1" display="BS!A1" xr:uid="{53DF4116-B007-3A4E-A1DA-AC7122DAC099}"/>
    <hyperlink ref="B19" location="'BS1'!A1" display="'BS1'!A1" xr:uid="{B660B5C6-A319-A843-BAF2-5F70D2E39D7C}"/>
    <hyperlink ref="B20" location="'BS2'!A1" display="'BS2'!A1" xr:uid="{29A43F62-6D06-DE4F-9B61-55F67448B067}"/>
    <hyperlink ref="B21" location="'BS3'!A1" display="'BS3'!A1" xr:uid="{20CDC479-033C-B94A-A241-DDCE793A8341}"/>
    <hyperlink ref="B22" location="'BS4'!A1" display="'BS4'!A1" xr:uid="{01C8DDEC-0CDB-C54D-ABE3-EAC191BCFE1A}"/>
    <hyperlink ref="A25" location="CF!A1" display="CF!A1" xr:uid="{B4EBEA10-5AFD-9B42-9C1E-64C591006297}"/>
    <hyperlink ref="B25" location="'CF1'!A1" display="'CF1'!A1" xr:uid="{8F10C672-1C50-024E-BF1C-D8C197A7CF1F}"/>
    <hyperlink ref="B26" location="'CF2'!A1" display="'CF2'!A1" xr:uid="{C84410F9-66B9-C247-9C0A-CCDAE7984D19}"/>
    <hyperlink ref="B27" location="'CF3'!A1" display="'CF3'!A1" xr:uid="{3C268C2A-389E-E441-9A51-2E11047B265A}"/>
    <hyperlink ref="A29" location="FC!A1" display="FC!A1" xr:uid="{11406FF9-EAD4-664B-B846-0BDAFF1612EB}"/>
    <hyperlink ref="B29" location="'FC1'!A1" display="'FC1'!A1" xr:uid="{9237B4A2-D423-724A-97B4-F4BF4405765A}"/>
    <hyperlink ref="B30" location="'FC2'!A1" display="'FC2'!A1" xr:uid="{938D32DF-9919-A84C-98F7-8D1667BAF586}"/>
    <hyperlink ref="B31" location="'FC3'!A1" display="'FC3'!A1" xr:uid="{11D4B3D5-E568-E247-BE5A-15C124478B91}"/>
    <hyperlink ref="B32" location="'FC4'!A1" display="'FC4'!A1" xr:uid="{DC2466E7-10A9-C044-8243-BD1E00D933B8}"/>
    <hyperlink ref="B23" location="'BS5'!A1" display="'BS5'!A1" xr:uid="{8AC636B6-906B-AC47-BBE5-4644AD8F5370}"/>
    <hyperlink ref="B17" location="'PL5'!A1" display="'PL5'!A1" xr:uid="{C4A850E0-FD14-784A-8D15-F9F36D21F7E8}"/>
    <hyperlink ref="B8" location="EVtoEQ!A1" display="EVtoEQ!A1" xr:uid="{D7998A05-4805-9346-A1A8-9252EB3B90BD}"/>
  </hyperlinks>
  <pageMargins left="0.70866141732283472" right="0.70866141732283472" top="1.3385826771653544" bottom="0.74803149606299213" header="0.31496062992125984" footer="0.31496062992125984"/>
  <pageSetup paperSize="9" scale="86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legacyDrawingHF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B5B7B-A2BF-C646-8FFE-5C5352971A3E}">
  <sheetPr>
    <tabColor theme="9"/>
    <pageSetUpPr fitToPage="1"/>
  </sheetPr>
  <dimension ref="A1:I15"/>
  <sheetViews>
    <sheetView showGridLines="0" workbookViewId="0">
      <selection activeCell="B14" sqref="B14"/>
    </sheetView>
  </sheetViews>
  <sheetFormatPr baseColWidth="10" defaultRowHeight="16" x14ac:dyDescent="0.2"/>
  <cols>
    <col min="1" max="1" width="25.83203125" customWidth="1"/>
    <col min="2" max="2" width="5.1640625" customWidth="1"/>
    <col min="6" max="6" width="1.33203125" customWidth="1"/>
  </cols>
  <sheetData>
    <row r="1" spans="1:9" ht="21" x14ac:dyDescent="0.25">
      <c r="A1" s="2" t="s">
        <v>179</v>
      </c>
    </row>
    <row r="2" spans="1:9" ht="19" x14ac:dyDescent="0.25">
      <c r="A2" s="7" t="str">
        <f>BS!A1</f>
        <v>Balance sheet section</v>
      </c>
    </row>
    <row r="3" spans="1:9" x14ac:dyDescent="0.2">
      <c r="A3" s="47" t="s">
        <v>101</v>
      </c>
    </row>
    <row r="4" spans="1:9" x14ac:dyDescent="0.2">
      <c r="A4" s="13"/>
      <c r="B4" s="13"/>
      <c r="C4" s="13"/>
      <c r="D4" s="13"/>
      <c r="E4" s="13"/>
      <c r="G4" s="105" t="s">
        <v>148</v>
      </c>
      <c r="H4" s="105"/>
      <c r="I4" s="105"/>
    </row>
    <row r="5" spans="1:9" x14ac:dyDescent="0.2">
      <c r="A5" s="28" t="s">
        <v>39</v>
      </c>
      <c r="B5" s="50" t="s">
        <v>40</v>
      </c>
      <c r="C5" s="33">
        <v>43070</v>
      </c>
      <c r="D5" s="33">
        <v>43435</v>
      </c>
      <c r="E5" s="33">
        <v>43800</v>
      </c>
      <c r="G5" s="76">
        <v>43070</v>
      </c>
      <c r="H5" s="76">
        <v>43435</v>
      </c>
      <c r="I5" s="76">
        <v>43800</v>
      </c>
    </row>
    <row r="6" spans="1:9" x14ac:dyDescent="0.2">
      <c r="A6" t="s">
        <v>142</v>
      </c>
      <c r="C6" s="19">
        <v>138</v>
      </c>
      <c r="D6" s="19">
        <v>162</v>
      </c>
      <c r="E6" s="19">
        <v>290</v>
      </c>
      <c r="G6" s="25">
        <f>C6/C$11*100</f>
        <v>26.953125</v>
      </c>
      <c r="H6" s="25">
        <f t="shared" ref="H6:H11" si="0">D6/D$11*100</f>
        <v>26.21359223300971</v>
      </c>
      <c r="I6" s="25">
        <f t="shared" ref="I6:I11" si="1">E6/E$11*100</f>
        <v>40.730337078651687</v>
      </c>
    </row>
    <row r="7" spans="1:9" x14ac:dyDescent="0.2">
      <c r="A7" t="s">
        <v>143</v>
      </c>
      <c r="C7" s="19">
        <v>64</v>
      </c>
      <c r="D7" s="19">
        <v>175</v>
      </c>
      <c r="E7" s="19">
        <v>171</v>
      </c>
      <c r="G7" s="25">
        <f t="shared" ref="G7:G11" si="2">C7/C$11*100</f>
        <v>12.5</v>
      </c>
      <c r="H7" s="25">
        <f t="shared" si="0"/>
        <v>28.317152103559874</v>
      </c>
      <c r="I7" s="25">
        <f t="shared" si="1"/>
        <v>24.016853932584269</v>
      </c>
    </row>
    <row r="8" spans="1:9" x14ac:dyDescent="0.2">
      <c r="A8" t="s">
        <v>144</v>
      </c>
      <c r="C8" s="19">
        <v>48</v>
      </c>
      <c r="D8" s="19">
        <v>185</v>
      </c>
      <c r="E8" s="19">
        <v>100</v>
      </c>
      <c r="G8" s="25">
        <f t="shared" si="2"/>
        <v>9.375</v>
      </c>
      <c r="H8" s="25">
        <f t="shared" si="0"/>
        <v>29.935275080906148</v>
      </c>
      <c r="I8" s="25">
        <f t="shared" si="1"/>
        <v>14.04494382022472</v>
      </c>
    </row>
    <row r="9" spans="1:9" x14ac:dyDescent="0.2">
      <c r="A9" t="s">
        <v>145</v>
      </c>
      <c r="C9" s="19">
        <v>172</v>
      </c>
      <c r="D9" s="19">
        <v>63</v>
      </c>
      <c r="E9" s="19">
        <v>81</v>
      </c>
      <c r="G9" s="25">
        <f t="shared" si="2"/>
        <v>33.59375</v>
      </c>
      <c r="H9" s="25">
        <f t="shared" si="0"/>
        <v>10.194174757281553</v>
      </c>
      <c r="I9" s="25">
        <f t="shared" si="1"/>
        <v>11.376404494382022</v>
      </c>
    </row>
    <row r="10" spans="1:9" x14ac:dyDescent="0.2">
      <c r="A10" t="s">
        <v>146</v>
      </c>
      <c r="C10" s="19">
        <v>90</v>
      </c>
      <c r="D10" s="19">
        <v>33</v>
      </c>
      <c r="E10" s="19">
        <v>70</v>
      </c>
      <c r="G10" s="25">
        <f t="shared" si="2"/>
        <v>17.578125</v>
      </c>
      <c r="H10" s="25">
        <f t="shared" si="0"/>
        <v>5.3398058252427179</v>
      </c>
      <c r="I10" s="25">
        <f t="shared" si="1"/>
        <v>9.8314606741573041</v>
      </c>
    </row>
    <row r="11" spans="1:9" x14ac:dyDescent="0.2">
      <c r="A11" s="39" t="s">
        <v>74</v>
      </c>
      <c r="B11" s="39"/>
      <c r="C11" s="37">
        <f>SUM(C6:C10)</f>
        <v>512</v>
      </c>
      <c r="D11" s="37">
        <f>SUM(D6:D10)</f>
        <v>618</v>
      </c>
      <c r="E11" s="37">
        <f>SUM(E6:E10)</f>
        <v>712</v>
      </c>
      <c r="G11" s="38">
        <f t="shared" si="2"/>
        <v>100</v>
      </c>
      <c r="H11" s="38">
        <f t="shared" si="0"/>
        <v>100</v>
      </c>
      <c r="I11" s="38">
        <f t="shared" si="1"/>
        <v>100</v>
      </c>
    </row>
    <row r="12" spans="1:9" x14ac:dyDescent="0.2">
      <c r="A12" s="16" t="str">
        <f>A2&amp;" - "&amp;A1</f>
        <v>Balance sheet section - Inventory breakdown</v>
      </c>
    </row>
    <row r="13" spans="1:9" x14ac:dyDescent="0.2">
      <c r="A13" s="16" t="s">
        <v>44</v>
      </c>
      <c r="C13" s="44"/>
      <c r="D13" s="44"/>
      <c r="E13" s="44"/>
    </row>
    <row r="15" spans="1:9" x14ac:dyDescent="0.2">
      <c r="A15" s="1" t="s">
        <v>204</v>
      </c>
    </row>
  </sheetData>
  <mergeCells count="1">
    <mergeCell ref="G4:I4"/>
  </mergeCells>
  <hyperlinks>
    <hyperlink ref="A3" location="Contents!A1" display="Back to Table of contents" xr:uid="{1E2271EA-7036-A04E-85DE-6B1FD94D605B}"/>
  </hyperlinks>
  <pageMargins left="0.70866141732283472" right="0.70866141732283472" top="1.3385826771653544" bottom="0.74803149606299213" header="0.31496062992125984" footer="0.31496062992125984"/>
  <pageSetup paperSize="9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drawing r:id="rId1"/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1BEE8-FE5C-3045-A69D-209310EEF085}">
  <sheetPr>
    <tabColor theme="9"/>
    <pageSetUpPr fitToPage="1"/>
  </sheetPr>
  <dimension ref="A1:I16"/>
  <sheetViews>
    <sheetView showGridLines="0" workbookViewId="0">
      <selection activeCell="B14" sqref="B14"/>
    </sheetView>
  </sheetViews>
  <sheetFormatPr baseColWidth="10" defaultRowHeight="16" x14ac:dyDescent="0.2"/>
  <cols>
    <col min="1" max="1" width="25.83203125" customWidth="1"/>
    <col min="2" max="2" width="5.1640625" customWidth="1"/>
    <col min="6" max="6" width="2" customWidth="1"/>
  </cols>
  <sheetData>
    <row r="1" spans="1:9" ht="21" x14ac:dyDescent="0.25">
      <c r="A1" s="2" t="s">
        <v>180</v>
      </c>
    </row>
    <row r="2" spans="1:9" ht="19" x14ac:dyDescent="0.25">
      <c r="A2" s="7" t="str">
        <f>BS!A1</f>
        <v>Balance sheet section</v>
      </c>
    </row>
    <row r="3" spans="1:9" x14ac:dyDescent="0.2">
      <c r="A3" s="47" t="s">
        <v>101</v>
      </c>
    </row>
    <row r="4" spans="1:9" x14ac:dyDescent="0.2">
      <c r="A4" s="13"/>
      <c r="B4" s="13"/>
      <c r="C4" s="13"/>
      <c r="D4" s="13"/>
      <c r="E4" s="13"/>
      <c r="G4" s="105" t="s">
        <v>148</v>
      </c>
      <c r="H4" s="105"/>
      <c r="I4" s="105"/>
    </row>
    <row r="5" spans="1:9" x14ac:dyDescent="0.2">
      <c r="A5" s="28" t="s">
        <v>39</v>
      </c>
      <c r="B5" s="50" t="s">
        <v>40</v>
      </c>
      <c r="C5" s="33">
        <v>43070</v>
      </c>
      <c r="D5" s="33">
        <v>43435</v>
      </c>
      <c r="E5" s="33">
        <v>43800</v>
      </c>
      <c r="G5" s="76">
        <v>43070</v>
      </c>
      <c r="H5" s="76">
        <v>43435</v>
      </c>
      <c r="I5" s="76">
        <v>43800</v>
      </c>
    </row>
    <row r="6" spans="1:9" x14ac:dyDescent="0.2">
      <c r="A6" t="s">
        <v>188</v>
      </c>
      <c r="C6" s="19">
        <v>162</v>
      </c>
      <c r="D6" s="19">
        <v>251</v>
      </c>
      <c r="E6" s="19">
        <v>128</v>
      </c>
      <c r="G6" s="25">
        <f>C6/C$12*100</f>
        <v>46.153846153846153</v>
      </c>
      <c r="H6" s="25">
        <f t="shared" ref="H6:H12" si="0">D6/D$12*100</f>
        <v>54.446854663774403</v>
      </c>
      <c r="I6" s="25">
        <f t="shared" ref="I6:I11" si="1">E6/E$12*100</f>
        <v>58.715596330275233</v>
      </c>
    </row>
    <row r="7" spans="1:9" x14ac:dyDescent="0.2">
      <c r="A7" t="s">
        <v>189</v>
      </c>
      <c r="C7" s="19">
        <v>95</v>
      </c>
      <c r="D7" s="19">
        <v>99</v>
      </c>
      <c r="E7" s="19">
        <v>17</v>
      </c>
      <c r="G7" s="25">
        <f t="shared" ref="G7:G12" si="2">C7/C$12*100</f>
        <v>27.065527065527068</v>
      </c>
      <c r="H7" s="25">
        <f t="shared" si="0"/>
        <v>21.475054229934923</v>
      </c>
      <c r="I7" s="25">
        <f t="shared" si="1"/>
        <v>7.7981651376146797</v>
      </c>
    </row>
    <row r="8" spans="1:9" x14ac:dyDescent="0.2">
      <c r="A8" t="s">
        <v>190</v>
      </c>
      <c r="C8" s="19">
        <v>53</v>
      </c>
      <c r="D8" s="19">
        <v>71</v>
      </c>
      <c r="E8" s="19">
        <v>25</v>
      </c>
      <c r="G8" s="25">
        <f t="shared" si="2"/>
        <v>15.0997150997151</v>
      </c>
      <c r="H8" s="25">
        <f t="shared" si="0"/>
        <v>15.40130151843818</v>
      </c>
      <c r="I8" s="25">
        <f t="shared" si="1"/>
        <v>11.467889908256881</v>
      </c>
    </row>
    <row r="9" spans="1:9" x14ac:dyDescent="0.2">
      <c r="A9" t="s">
        <v>191</v>
      </c>
      <c r="C9" s="19">
        <v>15</v>
      </c>
      <c r="D9" s="19">
        <v>17</v>
      </c>
      <c r="E9" s="19">
        <v>13</v>
      </c>
      <c r="G9" s="25">
        <f t="shared" si="2"/>
        <v>4.2735042735042734</v>
      </c>
      <c r="H9" s="25">
        <f t="shared" si="0"/>
        <v>3.68763557483731</v>
      </c>
      <c r="I9" s="25">
        <f t="shared" si="1"/>
        <v>5.9633027522935782</v>
      </c>
    </row>
    <row r="10" spans="1:9" x14ac:dyDescent="0.2">
      <c r="A10" t="s">
        <v>192</v>
      </c>
      <c r="C10" s="19">
        <v>8</v>
      </c>
      <c r="D10" s="19">
        <v>5</v>
      </c>
      <c r="E10" s="19">
        <v>9</v>
      </c>
      <c r="G10" s="25">
        <f t="shared" si="2"/>
        <v>2.2792022792022792</v>
      </c>
      <c r="H10" s="25">
        <f t="shared" si="0"/>
        <v>1.0845986984815619</v>
      </c>
      <c r="I10" s="25">
        <f t="shared" si="1"/>
        <v>4.1284403669724776</v>
      </c>
    </row>
    <row r="11" spans="1:9" x14ac:dyDescent="0.2">
      <c r="A11" t="s">
        <v>193</v>
      </c>
      <c r="C11" s="19">
        <v>18</v>
      </c>
      <c r="D11" s="19">
        <v>18</v>
      </c>
      <c r="E11" s="19">
        <v>26</v>
      </c>
      <c r="G11" s="25">
        <f t="shared" si="2"/>
        <v>5.1282051282051277</v>
      </c>
      <c r="H11" s="25">
        <f t="shared" si="0"/>
        <v>3.9045553145336225</v>
      </c>
      <c r="I11" s="25">
        <f t="shared" si="1"/>
        <v>11.926605504587156</v>
      </c>
    </row>
    <row r="12" spans="1:9" x14ac:dyDescent="0.2">
      <c r="A12" s="39" t="s">
        <v>75</v>
      </c>
      <c r="B12" s="39"/>
      <c r="C12" s="37">
        <f>SUM(C6:C11)</f>
        <v>351</v>
      </c>
      <c r="D12" s="37">
        <f>SUM(D6:D11)</f>
        <v>461</v>
      </c>
      <c r="E12" s="37">
        <f>SUM(E6:E11)</f>
        <v>218</v>
      </c>
      <c r="G12" s="38">
        <f t="shared" si="2"/>
        <v>100</v>
      </c>
      <c r="H12" s="38">
        <f t="shared" si="0"/>
        <v>100</v>
      </c>
      <c r="I12" s="38">
        <f>E12/E$12*100</f>
        <v>100</v>
      </c>
    </row>
    <row r="13" spans="1:9" x14ac:dyDescent="0.2">
      <c r="A13" s="16" t="str">
        <f>A2&amp;" - "&amp;A1</f>
        <v>Balance sheet section - Trade receivable ageing</v>
      </c>
    </row>
    <row r="14" spans="1:9" x14ac:dyDescent="0.2">
      <c r="A14" s="16" t="s">
        <v>44</v>
      </c>
      <c r="C14" s="44"/>
      <c r="D14" s="44"/>
      <c r="E14" s="44"/>
    </row>
    <row r="16" spans="1:9" x14ac:dyDescent="0.2">
      <c r="A16" s="1" t="s">
        <v>205</v>
      </c>
    </row>
  </sheetData>
  <mergeCells count="1">
    <mergeCell ref="G4:I4"/>
  </mergeCells>
  <hyperlinks>
    <hyperlink ref="A3" location="Contents!A1" display="Back to: Table of contents" xr:uid="{A29DECCE-5A9A-CF48-9195-706D87F6E449}"/>
  </hyperlinks>
  <pageMargins left="0.70866141732283472" right="0.70866141732283472" top="1.3385826771653544" bottom="0.74803149606299213" header="0.31496062992125984" footer="0.31496062992125984"/>
  <pageSetup paperSize="9" scale="97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drawing r:id="rId1"/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6B583-A4FF-2040-91C4-08DC41F95C56}">
  <sheetPr>
    <tabColor theme="9"/>
    <pageSetUpPr fitToPage="1"/>
  </sheetPr>
  <dimension ref="A1:I16"/>
  <sheetViews>
    <sheetView showGridLines="0" workbookViewId="0">
      <selection activeCell="B14" sqref="B14"/>
    </sheetView>
  </sheetViews>
  <sheetFormatPr baseColWidth="10" defaultRowHeight="16" x14ac:dyDescent="0.2"/>
  <cols>
    <col min="1" max="1" width="25.83203125" customWidth="1"/>
    <col min="2" max="2" width="5.1640625" customWidth="1"/>
    <col min="6" max="6" width="1.5" customWidth="1"/>
  </cols>
  <sheetData>
    <row r="1" spans="1:9" ht="21" x14ac:dyDescent="0.25">
      <c r="A1" s="2" t="s">
        <v>181</v>
      </c>
    </row>
    <row r="2" spans="1:9" ht="19" x14ac:dyDescent="0.25">
      <c r="A2" s="7" t="str">
        <f>BS!A1</f>
        <v>Balance sheet section</v>
      </c>
    </row>
    <row r="3" spans="1:9" x14ac:dyDescent="0.2">
      <c r="A3" s="47" t="s">
        <v>101</v>
      </c>
    </row>
    <row r="4" spans="1:9" x14ac:dyDescent="0.2">
      <c r="A4" s="13"/>
      <c r="B4" s="13"/>
      <c r="C4" s="13"/>
      <c r="D4" s="13"/>
      <c r="E4" s="13"/>
      <c r="G4" s="105" t="s">
        <v>148</v>
      </c>
      <c r="H4" s="105"/>
      <c r="I4" s="105"/>
    </row>
    <row r="5" spans="1:9" x14ac:dyDescent="0.2">
      <c r="A5" s="28" t="s">
        <v>39</v>
      </c>
      <c r="B5" s="50" t="s">
        <v>40</v>
      </c>
      <c r="C5" s="33">
        <v>43070</v>
      </c>
      <c r="D5" s="33">
        <v>43435</v>
      </c>
      <c r="E5" s="33">
        <v>43800</v>
      </c>
      <c r="G5" s="76">
        <v>43070</v>
      </c>
      <c r="H5" s="76">
        <v>43435</v>
      </c>
      <c r="I5" s="76">
        <v>43800</v>
      </c>
    </row>
    <row r="6" spans="1:9" x14ac:dyDescent="0.2">
      <c r="A6" t="s">
        <v>188</v>
      </c>
      <c r="C6" s="19">
        <v>110</v>
      </c>
      <c r="D6" s="19">
        <v>175</v>
      </c>
      <c r="E6" s="19">
        <v>201</v>
      </c>
      <c r="G6" s="25">
        <f>C6/C$12*100</f>
        <v>45.643153526970956</v>
      </c>
      <c r="H6" s="25">
        <f t="shared" ref="H6:I12" si="0">D6/D$12*100</f>
        <v>54.858934169278996</v>
      </c>
      <c r="I6" s="25">
        <f t="shared" si="0"/>
        <v>45.57823129251701</v>
      </c>
    </row>
    <row r="7" spans="1:9" x14ac:dyDescent="0.2">
      <c r="A7" t="s">
        <v>189</v>
      </c>
      <c r="C7" s="19">
        <v>54</v>
      </c>
      <c r="D7" s="19">
        <v>86</v>
      </c>
      <c r="E7" s="19">
        <v>110</v>
      </c>
      <c r="G7" s="25">
        <f t="shared" ref="G7:G12" si="1">C7/C$12*100</f>
        <v>22.40663900414938</v>
      </c>
      <c r="H7" s="25">
        <f t="shared" si="0"/>
        <v>26.959247648902824</v>
      </c>
      <c r="I7" s="25">
        <f t="shared" si="0"/>
        <v>24.943310657596371</v>
      </c>
    </row>
    <row r="8" spans="1:9" x14ac:dyDescent="0.2">
      <c r="A8" t="s">
        <v>190</v>
      </c>
      <c r="C8" s="19">
        <v>33</v>
      </c>
      <c r="D8" s="19">
        <v>27</v>
      </c>
      <c r="E8" s="19">
        <v>35</v>
      </c>
      <c r="G8" s="25">
        <f t="shared" si="1"/>
        <v>13.692946058091287</v>
      </c>
      <c r="H8" s="25">
        <f t="shared" si="0"/>
        <v>8.4639498432601883</v>
      </c>
      <c r="I8" s="25">
        <f t="shared" si="0"/>
        <v>7.9365079365079358</v>
      </c>
    </row>
    <row r="9" spans="1:9" x14ac:dyDescent="0.2">
      <c r="A9" t="s">
        <v>191</v>
      </c>
      <c r="C9" s="19">
        <v>14</v>
      </c>
      <c r="D9" s="19">
        <v>4</v>
      </c>
      <c r="E9" s="19">
        <v>23</v>
      </c>
      <c r="G9" s="25">
        <f t="shared" si="1"/>
        <v>5.809128630705394</v>
      </c>
      <c r="H9" s="25">
        <f t="shared" si="0"/>
        <v>1.2539184952978055</v>
      </c>
      <c r="I9" s="25">
        <f t="shared" si="0"/>
        <v>5.2154195011337867</v>
      </c>
    </row>
    <row r="10" spans="1:9" x14ac:dyDescent="0.2">
      <c r="A10" t="s">
        <v>192</v>
      </c>
      <c r="C10" s="19">
        <v>9</v>
      </c>
      <c r="D10" s="19">
        <v>12</v>
      </c>
      <c r="E10" s="19">
        <v>14</v>
      </c>
      <c r="G10" s="25">
        <f t="shared" si="1"/>
        <v>3.7344398340248963</v>
      </c>
      <c r="H10" s="25">
        <f t="shared" si="0"/>
        <v>3.761755485893417</v>
      </c>
      <c r="I10" s="25">
        <f t="shared" si="0"/>
        <v>3.1746031746031744</v>
      </c>
    </row>
    <row r="11" spans="1:9" x14ac:dyDescent="0.2">
      <c r="A11" t="s">
        <v>193</v>
      </c>
      <c r="C11" s="19">
        <v>21</v>
      </c>
      <c r="D11" s="19">
        <v>15</v>
      </c>
      <c r="E11" s="19">
        <v>58</v>
      </c>
      <c r="G11" s="25">
        <f t="shared" si="1"/>
        <v>8.7136929460580905</v>
      </c>
      <c r="H11" s="25">
        <f t="shared" si="0"/>
        <v>4.7021943573667713</v>
      </c>
      <c r="I11" s="25">
        <f t="shared" si="0"/>
        <v>13.151927437641723</v>
      </c>
    </row>
    <row r="12" spans="1:9" x14ac:dyDescent="0.2">
      <c r="A12" s="39" t="s">
        <v>76</v>
      </c>
      <c r="B12" s="39"/>
      <c r="C12" s="37">
        <f>SUM(C6:C11)</f>
        <v>241</v>
      </c>
      <c r="D12" s="37">
        <f>SUM(D6:D11)</f>
        <v>319</v>
      </c>
      <c r="E12" s="37">
        <f>SUM(E6:E11)</f>
        <v>441</v>
      </c>
      <c r="G12" s="38">
        <f t="shared" si="1"/>
        <v>100</v>
      </c>
      <c r="H12" s="38">
        <f t="shared" si="0"/>
        <v>100</v>
      </c>
      <c r="I12" s="38">
        <f>E12/E$12*100</f>
        <v>100</v>
      </c>
    </row>
    <row r="13" spans="1:9" x14ac:dyDescent="0.2">
      <c r="A13" s="16" t="str">
        <f>A2&amp;" - "&amp;A1</f>
        <v>Balance sheet section - Trade payable ageing</v>
      </c>
    </row>
    <row r="14" spans="1:9" x14ac:dyDescent="0.2">
      <c r="A14" s="16" t="s">
        <v>44</v>
      </c>
      <c r="C14" s="44"/>
      <c r="D14" s="44"/>
      <c r="E14" s="44"/>
    </row>
    <row r="16" spans="1:9" x14ac:dyDescent="0.2">
      <c r="A16" s="1" t="s">
        <v>206</v>
      </c>
    </row>
  </sheetData>
  <mergeCells count="1">
    <mergeCell ref="G4:I4"/>
  </mergeCells>
  <hyperlinks>
    <hyperlink ref="A3" location="Contents!A1" display="Back to: Table of contents" xr:uid="{DC5F5548-860E-414A-A50B-ACFDF30DA9AB}"/>
  </hyperlinks>
  <pageMargins left="0.70866141732283472" right="0.70866141732283472" top="1.3385826771653544" bottom="0.74803149606299213" header="0.31496062992125984" footer="0.31496062992125984"/>
  <pageSetup paperSize="9" scale="97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drawing r:id="rId1"/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95F57-EAC1-6649-B825-93A6EEDFAB37}">
  <sheetPr>
    <tabColor theme="9"/>
    <pageSetUpPr fitToPage="1"/>
  </sheetPr>
  <dimension ref="A1:A20"/>
  <sheetViews>
    <sheetView showGridLines="0" workbookViewId="0">
      <selection activeCell="B14" sqref="B14"/>
    </sheetView>
  </sheetViews>
  <sheetFormatPr baseColWidth="10" defaultRowHeight="16" x14ac:dyDescent="0.2"/>
  <cols>
    <col min="1" max="1" width="56.33203125" customWidth="1"/>
  </cols>
  <sheetData>
    <row r="1" spans="1:1" ht="21" x14ac:dyDescent="0.25">
      <c r="A1" s="2" t="s">
        <v>270</v>
      </c>
    </row>
    <row r="2" spans="1:1" ht="19" x14ac:dyDescent="0.25">
      <c r="A2" s="7" t="str">
        <f>BS!A1</f>
        <v>Balance sheet section</v>
      </c>
    </row>
    <row r="3" spans="1:1" x14ac:dyDescent="0.2">
      <c r="A3" s="47" t="s">
        <v>101</v>
      </c>
    </row>
    <row r="4" spans="1:1" x14ac:dyDescent="0.2">
      <c r="A4" s="13"/>
    </row>
    <row r="5" spans="1:1" x14ac:dyDescent="0.2">
      <c r="A5" s="28" t="s">
        <v>271</v>
      </c>
    </row>
    <row r="6" spans="1:1" x14ac:dyDescent="0.2">
      <c r="A6" t="s">
        <v>272</v>
      </c>
    </row>
    <row r="7" spans="1:1" x14ac:dyDescent="0.2">
      <c r="A7" t="s">
        <v>273</v>
      </c>
    </row>
    <row r="8" spans="1:1" x14ac:dyDescent="0.2">
      <c r="A8" t="s">
        <v>274</v>
      </c>
    </row>
    <row r="9" spans="1:1" x14ac:dyDescent="0.2">
      <c r="A9" t="s">
        <v>275</v>
      </c>
    </row>
    <row r="10" spans="1:1" x14ac:dyDescent="0.2">
      <c r="A10" t="s">
        <v>276</v>
      </c>
    </row>
    <row r="11" spans="1:1" x14ac:dyDescent="0.2">
      <c r="A11" t="s">
        <v>277</v>
      </c>
    </row>
    <row r="12" spans="1:1" x14ac:dyDescent="0.2">
      <c r="A12" t="s">
        <v>278</v>
      </c>
    </row>
    <row r="13" spans="1:1" x14ac:dyDescent="0.2">
      <c r="A13" t="s">
        <v>279</v>
      </c>
    </row>
    <row r="14" spans="1:1" x14ac:dyDescent="0.2">
      <c r="A14" t="s">
        <v>280</v>
      </c>
    </row>
    <row r="15" spans="1:1" x14ac:dyDescent="0.2">
      <c r="A15" t="s">
        <v>281</v>
      </c>
    </row>
    <row r="16" spans="1:1" x14ac:dyDescent="0.2">
      <c r="A16" t="s">
        <v>282</v>
      </c>
    </row>
    <row r="17" spans="1:1" x14ac:dyDescent="0.2">
      <c r="A17" t="s">
        <v>283</v>
      </c>
    </row>
    <row r="18" spans="1:1" x14ac:dyDescent="0.2">
      <c r="A18" s="13" t="s">
        <v>284</v>
      </c>
    </row>
    <row r="19" spans="1:1" x14ac:dyDescent="0.2">
      <c r="A19" s="16" t="str">
        <f>A2&amp;" - "&amp;A1</f>
        <v>Balance sheet section - Other possible balance sheet analyses</v>
      </c>
    </row>
    <row r="20" spans="1:1" x14ac:dyDescent="0.2">
      <c r="A20" s="16" t="s">
        <v>287</v>
      </c>
    </row>
  </sheetData>
  <hyperlinks>
    <hyperlink ref="A3" location="Contents!A1" display="Back to: Table of contents" xr:uid="{C1A2E348-F532-F445-935B-BCA89F5B0B10}"/>
  </hyperlinks>
  <pageMargins left="0.70866141732283472" right="0.70866141732283472" top="1.3385826771653544" bottom="0.74803149606299213" header="0.31496062992125984" footer="0.31496062992125984"/>
  <pageSetup paperSize="9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legacyDrawingHF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B155C-38F5-4248-99D4-92D48F306E7A}">
  <sheetPr>
    <tabColor rgb="FF7030A0"/>
    <pageSetUpPr fitToPage="1"/>
  </sheetPr>
  <dimension ref="A1:C7"/>
  <sheetViews>
    <sheetView showGridLines="0" workbookViewId="0">
      <selection activeCell="B14" sqref="B14"/>
    </sheetView>
  </sheetViews>
  <sheetFormatPr baseColWidth="10" defaultRowHeight="16" x14ac:dyDescent="0.2"/>
  <cols>
    <col min="1" max="1" width="37.1640625" customWidth="1"/>
  </cols>
  <sheetData>
    <row r="1" spans="1:3" ht="21" x14ac:dyDescent="0.25">
      <c r="A1" s="2" t="s">
        <v>23</v>
      </c>
    </row>
    <row r="2" spans="1:3" ht="19" x14ac:dyDescent="0.25">
      <c r="A2" s="7"/>
    </row>
    <row r="3" spans="1:3" x14ac:dyDescent="0.2">
      <c r="A3" s="48"/>
    </row>
    <row r="4" spans="1:3" x14ac:dyDescent="0.2">
      <c r="A4" s="10" t="s">
        <v>32</v>
      </c>
      <c r="B4" s="10" t="s">
        <v>33</v>
      </c>
      <c r="C4" s="77" t="s">
        <v>34</v>
      </c>
    </row>
    <row r="5" spans="1:3" x14ac:dyDescent="0.2">
      <c r="A5" s="12" t="str">
        <f>'CF1'!A1</f>
        <v>Capex breakdown</v>
      </c>
      <c r="B5" t="s">
        <v>24</v>
      </c>
      <c r="C5">
        <v>25</v>
      </c>
    </row>
    <row r="6" spans="1:3" x14ac:dyDescent="0.2">
      <c r="A6" s="12" t="str">
        <f>'CF2'!A1</f>
        <v>Monthly net working capital overview</v>
      </c>
      <c r="B6" t="s">
        <v>25</v>
      </c>
      <c r="C6">
        <v>26</v>
      </c>
    </row>
    <row r="7" spans="1:3" x14ac:dyDescent="0.2">
      <c r="A7" s="12" t="str">
        <f>'CF3'!A1</f>
        <v>Monthly DSO, DIO and DPO overview</v>
      </c>
      <c r="B7" t="s">
        <v>26</v>
      </c>
      <c r="C7">
        <v>29</v>
      </c>
    </row>
  </sheetData>
  <hyperlinks>
    <hyperlink ref="A5" location="'CF1'!A1" display="'CF1'!A1" xr:uid="{39804CCB-3CAF-3049-8425-1B99404BFABA}"/>
    <hyperlink ref="A6" location="'CF2'!A1" display="'CF2'!A1" xr:uid="{DE1EAF65-65E0-8045-BEB2-358F11C2E088}"/>
    <hyperlink ref="A7" location="'CF3'!A1" display="'CF3'!A1" xr:uid="{DB014B4A-5453-4248-93B9-E89E7F6741CA}"/>
  </hyperlinks>
  <pageMargins left="0.70866141732283472" right="0.70866141732283472" top="1.3385826771653544" bottom="0.74803149606299213" header="0.31496062992125984" footer="0.31496062992125984"/>
  <pageSetup paperSize="9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legacyDrawingHF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B8F30-A638-2C4C-B355-AE17325D4E92}">
  <sheetPr>
    <tabColor rgb="FF7030A0"/>
    <pageSetUpPr fitToPage="1"/>
  </sheetPr>
  <dimension ref="A1:G23"/>
  <sheetViews>
    <sheetView showGridLines="0" workbookViewId="0">
      <selection activeCell="B14" sqref="B14"/>
    </sheetView>
  </sheetViews>
  <sheetFormatPr baseColWidth="10" defaultRowHeight="16" x14ac:dyDescent="0.2"/>
  <cols>
    <col min="1" max="1" width="25.6640625" customWidth="1"/>
    <col min="2" max="2" width="5.1640625" customWidth="1"/>
    <col min="5" max="5" width="10" customWidth="1"/>
    <col min="6" max="6" width="1.6640625" customWidth="1"/>
  </cols>
  <sheetData>
    <row r="1" spans="1:7" ht="21" x14ac:dyDescent="0.25">
      <c r="A1" s="2" t="s">
        <v>182</v>
      </c>
    </row>
    <row r="2" spans="1:7" ht="19" x14ac:dyDescent="0.25">
      <c r="A2" s="7" t="str">
        <f>CF!A1</f>
        <v>Cash flow section</v>
      </c>
    </row>
    <row r="3" spans="1:7" x14ac:dyDescent="0.2">
      <c r="A3" s="47" t="s">
        <v>101</v>
      </c>
    </row>
    <row r="4" spans="1:7" x14ac:dyDescent="0.2">
      <c r="A4" s="13"/>
      <c r="B4" s="13"/>
      <c r="C4" s="13"/>
      <c r="D4" s="13"/>
      <c r="E4" s="13"/>
    </row>
    <row r="5" spans="1:7" x14ac:dyDescent="0.2">
      <c r="A5" s="28" t="s">
        <v>39</v>
      </c>
      <c r="B5" s="50" t="s">
        <v>40</v>
      </c>
      <c r="C5" s="33" t="s">
        <v>41</v>
      </c>
      <c r="D5" s="33" t="s">
        <v>42</v>
      </c>
      <c r="E5" s="33" t="s">
        <v>43</v>
      </c>
      <c r="G5" s="78" t="s">
        <v>207</v>
      </c>
    </row>
    <row r="6" spans="1:7" x14ac:dyDescent="0.2">
      <c r="A6" t="s">
        <v>197</v>
      </c>
      <c r="C6" s="19">
        <v>71</v>
      </c>
      <c r="D6" s="19">
        <v>42</v>
      </c>
      <c r="E6" s="19">
        <v>71</v>
      </c>
      <c r="G6" s="79"/>
    </row>
    <row r="7" spans="1:7" x14ac:dyDescent="0.2">
      <c r="A7" t="s">
        <v>198</v>
      </c>
      <c r="C7" s="19">
        <v>39</v>
      </c>
      <c r="D7" s="19">
        <v>25</v>
      </c>
      <c r="E7" s="19">
        <v>21</v>
      </c>
    </row>
    <row r="8" spans="1:7" x14ac:dyDescent="0.2">
      <c r="A8" t="s">
        <v>199</v>
      </c>
      <c r="C8" s="19">
        <v>32</v>
      </c>
      <c r="D8" s="19">
        <v>38</v>
      </c>
      <c r="E8" s="19">
        <v>34</v>
      </c>
    </row>
    <row r="9" spans="1:7" x14ac:dyDescent="0.2">
      <c r="A9" t="s">
        <v>200</v>
      </c>
      <c r="C9" s="19">
        <v>15</v>
      </c>
      <c r="D9" s="19">
        <v>24</v>
      </c>
      <c r="E9" s="19">
        <v>576</v>
      </c>
    </row>
    <row r="10" spans="1:7" x14ac:dyDescent="0.2">
      <c r="A10" t="s">
        <v>201</v>
      </c>
      <c r="C10" s="19">
        <v>21</v>
      </c>
      <c r="D10" s="19">
        <v>34</v>
      </c>
      <c r="E10" s="19">
        <v>54</v>
      </c>
    </row>
    <row r="11" spans="1:7" x14ac:dyDescent="0.2">
      <c r="A11" t="s">
        <v>202</v>
      </c>
      <c r="C11" s="19">
        <v>12</v>
      </c>
      <c r="D11" s="19">
        <v>15</v>
      </c>
      <c r="E11" s="19">
        <v>42</v>
      </c>
    </row>
    <row r="12" spans="1:7" x14ac:dyDescent="0.2">
      <c r="A12" t="s">
        <v>52</v>
      </c>
      <c r="C12" s="19">
        <v>6</v>
      </c>
      <c r="D12" s="19">
        <v>4</v>
      </c>
      <c r="E12" s="19">
        <v>12</v>
      </c>
    </row>
    <row r="13" spans="1:7" x14ac:dyDescent="0.2">
      <c r="A13" s="39" t="s">
        <v>95</v>
      </c>
      <c r="B13" s="39"/>
      <c r="C13" s="37">
        <f>SUM(C6:C12)</f>
        <v>196</v>
      </c>
      <c r="D13" s="37">
        <f>SUM(D6:D12)</f>
        <v>182</v>
      </c>
      <c r="E13" s="37">
        <f>SUM(E6:E12)</f>
        <v>810</v>
      </c>
    </row>
    <row r="14" spans="1:7" x14ac:dyDescent="0.2">
      <c r="A14" s="51" t="s">
        <v>196</v>
      </c>
      <c r="C14" s="19"/>
      <c r="D14" s="19"/>
      <c r="E14" s="19"/>
    </row>
    <row r="15" spans="1:7" x14ac:dyDescent="0.2">
      <c r="A15" t="s">
        <v>194</v>
      </c>
      <c r="C15" s="19">
        <v>156</v>
      </c>
      <c r="D15" s="19">
        <v>164</v>
      </c>
      <c r="E15" s="19">
        <v>179</v>
      </c>
    </row>
    <row r="16" spans="1:7" x14ac:dyDescent="0.2">
      <c r="A16" t="s">
        <v>195</v>
      </c>
      <c r="C16" s="19">
        <v>40</v>
      </c>
      <c r="D16" s="19">
        <v>18</v>
      </c>
      <c r="E16" s="19">
        <v>631</v>
      </c>
    </row>
    <row r="17" spans="1:5" x14ac:dyDescent="0.2">
      <c r="A17" s="39" t="s">
        <v>95</v>
      </c>
      <c r="B17" s="39"/>
      <c r="C17" s="37">
        <f>SUM(C15:C16)</f>
        <v>196</v>
      </c>
      <c r="D17" s="37">
        <f>SUM(D15:D16)</f>
        <v>182</v>
      </c>
      <c r="E17" s="37">
        <f>SUM(E15:E16)</f>
        <v>810</v>
      </c>
    </row>
    <row r="18" spans="1:5" x14ac:dyDescent="0.2">
      <c r="A18" s="16" t="str">
        <f>A2&amp;" - "&amp;A1</f>
        <v>Cash flow section - Capex breakdown</v>
      </c>
    </row>
    <row r="19" spans="1:5" x14ac:dyDescent="0.2">
      <c r="A19" s="16" t="s">
        <v>44</v>
      </c>
    </row>
    <row r="22" spans="1:5" x14ac:dyDescent="0.2">
      <c r="C22" s="19"/>
      <c r="D22" s="19"/>
      <c r="E22" s="19"/>
    </row>
    <row r="23" spans="1:5" x14ac:dyDescent="0.2">
      <c r="C23" s="44"/>
      <c r="D23" s="44"/>
      <c r="E23" s="44"/>
    </row>
  </sheetData>
  <hyperlinks>
    <hyperlink ref="A3" location="Contents!A1" display="Back to: Table of contents" xr:uid="{74E241E1-D7A4-E54D-BF86-331CDFAFC564}"/>
  </hyperlinks>
  <pageMargins left="0.70866141732283472" right="0.70866141732283472" top="1.3385826771653544" bottom="0.74803149606299213" header="0.31496062992125984" footer="0.31496062992125984"/>
  <pageSetup paperSize="9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drawing r:id="rId1"/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5BD2B-7FF5-F740-9AC7-20EA7B74433D}">
  <sheetPr>
    <tabColor rgb="FF7030A0"/>
  </sheetPr>
  <dimension ref="A1:AL68"/>
  <sheetViews>
    <sheetView showGridLines="0" topLeftCell="A54" zoomScaleNormal="100" workbookViewId="0">
      <selection activeCell="AO56" sqref="AO56"/>
    </sheetView>
  </sheetViews>
  <sheetFormatPr baseColWidth="10" defaultRowHeight="16" outlineLevelRow="1" outlineLevelCol="1" x14ac:dyDescent="0.2"/>
  <cols>
    <col min="1" max="1" width="29.5" customWidth="1"/>
    <col min="2" max="2" width="5.1640625" customWidth="1"/>
    <col min="4" max="7" width="0" hidden="1" customWidth="1" outlineLevel="1"/>
    <col min="8" max="8" width="10.83203125" collapsed="1"/>
    <col min="9" max="13" width="0" hidden="1" customWidth="1" outlineLevel="1"/>
    <col min="14" max="14" width="10.83203125" collapsed="1"/>
    <col min="15" max="19" width="0" hidden="1" customWidth="1" outlineLevel="1"/>
    <col min="20" max="20" width="10.83203125" collapsed="1"/>
    <col min="21" max="25" width="0" hidden="1" customWidth="1" outlineLevel="1"/>
    <col min="26" max="26" width="10.83203125" collapsed="1"/>
    <col min="27" max="31" width="0" hidden="1" customWidth="1" outlineLevel="1"/>
    <col min="32" max="32" width="10.83203125" collapsed="1"/>
    <col min="33" max="37" width="0" hidden="1" customWidth="1" outlineLevel="1"/>
    <col min="38" max="38" width="10.83203125" collapsed="1"/>
  </cols>
  <sheetData>
    <row r="1" spans="1:38" ht="21" x14ac:dyDescent="0.25">
      <c r="A1" s="2" t="s">
        <v>183</v>
      </c>
    </row>
    <row r="2" spans="1:38" ht="19" x14ac:dyDescent="0.25">
      <c r="A2" s="7" t="str">
        <f>CF!A1</f>
        <v>Cash flow section</v>
      </c>
    </row>
    <row r="3" spans="1:38" x14ac:dyDescent="0.2">
      <c r="A3" s="47" t="s">
        <v>101</v>
      </c>
    </row>
    <row r="4" spans="1:38" x14ac:dyDescent="0.2">
      <c r="A4" s="13"/>
      <c r="B4" s="13"/>
      <c r="C4" s="13"/>
      <c r="D4" s="13"/>
      <c r="E4" s="13"/>
    </row>
    <row r="5" spans="1:38" x14ac:dyDescent="0.2">
      <c r="A5" s="28" t="s">
        <v>39</v>
      </c>
      <c r="B5" s="50" t="s">
        <v>40</v>
      </c>
      <c r="C5" s="33">
        <v>42736</v>
      </c>
      <c r="D5" s="33">
        <v>42767</v>
      </c>
      <c r="E5" s="33">
        <v>42795</v>
      </c>
      <c r="F5" s="33">
        <v>42826</v>
      </c>
      <c r="G5" s="33">
        <v>42856</v>
      </c>
      <c r="H5" s="33">
        <v>42887</v>
      </c>
      <c r="I5" s="33">
        <v>42917</v>
      </c>
      <c r="J5" s="33">
        <v>42948</v>
      </c>
      <c r="K5" s="33">
        <v>42979</v>
      </c>
      <c r="L5" s="33">
        <v>43009</v>
      </c>
      <c r="M5" s="33">
        <v>43040</v>
      </c>
      <c r="N5" s="33">
        <v>43070</v>
      </c>
      <c r="O5" s="33">
        <v>43101</v>
      </c>
      <c r="P5" s="33">
        <v>43132</v>
      </c>
      <c r="Q5" s="33">
        <v>43160</v>
      </c>
      <c r="R5" s="33">
        <v>43191</v>
      </c>
      <c r="S5" s="33">
        <v>43221</v>
      </c>
      <c r="T5" s="33">
        <v>43252</v>
      </c>
      <c r="U5" s="33">
        <v>43282</v>
      </c>
      <c r="V5" s="33">
        <v>43313</v>
      </c>
      <c r="W5" s="33">
        <v>43344</v>
      </c>
      <c r="X5" s="33">
        <v>43374</v>
      </c>
      <c r="Y5" s="33">
        <v>43405</v>
      </c>
      <c r="Z5" s="33">
        <v>43435</v>
      </c>
      <c r="AA5" s="33">
        <v>43466</v>
      </c>
      <c r="AB5" s="33">
        <v>43497</v>
      </c>
      <c r="AC5" s="33">
        <v>43525</v>
      </c>
      <c r="AD5" s="33">
        <v>43556</v>
      </c>
      <c r="AE5" s="33">
        <v>43586</v>
      </c>
      <c r="AF5" s="33">
        <v>43617</v>
      </c>
      <c r="AG5" s="33">
        <v>43647</v>
      </c>
      <c r="AH5" s="33">
        <v>43678</v>
      </c>
      <c r="AI5" s="33">
        <v>43709</v>
      </c>
      <c r="AJ5" s="33">
        <v>43739</v>
      </c>
      <c r="AK5" s="33">
        <v>43770</v>
      </c>
      <c r="AL5" s="33">
        <v>43800</v>
      </c>
    </row>
    <row r="6" spans="1:38" x14ac:dyDescent="0.2">
      <c r="A6" s="34" t="s">
        <v>74</v>
      </c>
      <c r="C6" s="19">
        <v>485</v>
      </c>
      <c r="D6" s="19">
        <v>424</v>
      </c>
      <c r="E6" s="19">
        <v>457</v>
      </c>
      <c r="F6" s="19">
        <v>476</v>
      </c>
      <c r="G6" s="19">
        <v>487</v>
      </c>
      <c r="H6" s="19">
        <v>455</v>
      </c>
      <c r="I6" s="19">
        <v>488</v>
      </c>
      <c r="J6" s="19">
        <v>441</v>
      </c>
      <c r="K6" s="19">
        <v>405</v>
      </c>
      <c r="L6" s="19">
        <v>400</v>
      </c>
      <c r="M6" s="19">
        <v>394</v>
      </c>
      <c r="N6" s="19">
        <v>512</v>
      </c>
      <c r="O6" s="19">
        <v>557</v>
      </c>
      <c r="P6" s="19">
        <v>587</v>
      </c>
      <c r="Q6" s="19">
        <v>601</v>
      </c>
      <c r="R6" s="19">
        <v>569</v>
      </c>
      <c r="S6" s="19">
        <v>582</v>
      </c>
      <c r="T6" s="19">
        <v>566</v>
      </c>
      <c r="U6" s="19">
        <v>617</v>
      </c>
      <c r="V6" s="19">
        <v>598</v>
      </c>
      <c r="W6" s="19">
        <v>575</v>
      </c>
      <c r="X6" s="19">
        <v>572</v>
      </c>
      <c r="Y6" s="19">
        <v>589</v>
      </c>
      <c r="Z6" s="19">
        <v>618</v>
      </c>
      <c r="AA6" s="19">
        <v>637</v>
      </c>
      <c r="AB6" s="19">
        <v>669</v>
      </c>
      <c r="AC6" s="19">
        <v>700</v>
      </c>
      <c r="AD6" s="19">
        <v>685</v>
      </c>
      <c r="AE6" s="19">
        <v>638</v>
      </c>
      <c r="AF6" s="19">
        <v>693</v>
      </c>
      <c r="AG6" s="19">
        <v>669</v>
      </c>
      <c r="AH6" s="19">
        <v>666</v>
      </c>
      <c r="AI6" s="19">
        <v>685</v>
      </c>
      <c r="AJ6" s="19">
        <v>618</v>
      </c>
      <c r="AK6" s="19">
        <v>624</v>
      </c>
      <c r="AL6" s="19">
        <v>712</v>
      </c>
    </row>
    <row r="7" spans="1:38" x14ac:dyDescent="0.2">
      <c r="A7" s="34" t="s">
        <v>75</v>
      </c>
      <c r="C7" s="19">
        <v>333</v>
      </c>
      <c r="D7" s="19">
        <v>347</v>
      </c>
      <c r="E7" s="19">
        <v>311</v>
      </c>
      <c r="F7" s="19">
        <v>303</v>
      </c>
      <c r="G7" s="19">
        <v>289</v>
      </c>
      <c r="H7" s="19">
        <v>335</v>
      </c>
      <c r="I7" s="19">
        <v>308</v>
      </c>
      <c r="J7" s="19">
        <v>285</v>
      </c>
      <c r="K7" s="19">
        <v>321</v>
      </c>
      <c r="L7" s="19">
        <v>287</v>
      </c>
      <c r="M7" s="19">
        <v>286</v>
      </c>
      <c r="N7" s="19">
        <v>351</v>
      </c>
      <c r="O7" s="19">
        <v>355</v>
      </c>
      <c r="P7" s="19">
        <v>432</v>
      </c>
      <c r="Q7" s="19">
        <v>458</v>
      </c>
      <c r="R7" s="19">
        <v>388</v>
      </c>
      <c r="S7" s="19">
        <v>443</v>
      </c>
      <c r="T7" s="19">
        <v>402</v>
      </c>
      <c r="U7" s="19">
        <v>441</v>
      </c>
      <c r="V7" s="19">
        <v>389</v>
      </c>
      <c r="W7" s="19">
        <v>422</v>
      </c>
      <c r="X7" s="19">
        <v>433</v>
      </c>
      <c r="Y7" s="19">
        <v>454</v>
      </c>
      <c r="Z7" s="19">
        <v>461</v>
      </c>
      <c r="AA7" s="19">
        <v>453</v>
      </c>
      <c r="AB7" s="19">
        <v>341</v>
      </c>
      <c r="AC7" s="19">
        <v>240</v>
      </c>
      <c r="AD7" s="19">
        <v>379</v>
      </c>
      <c r="AE7" s="19">
        <v>382</v>
      </c>
      <c r="AF7" s="19">
        <v>314</v>
      </c>
      <c r="AG7" s="19">
        <v>281</v>
      </c>
      <c r="AH7" s="19">
        <v>267</v>
      </c>
      <c r="AI7" s="19">
        <v>298</v>
      </c>
      <c r="AJ7" s="19">
        <v>461</v>
      </c>
      <c r="AK7" s="19">
        <v>305</v>
      </c>
      <c r="AL7" s="19">
        <v>218</v>
      </c>
    </row>
    <row r="8" spans="1:38" x14ac:dyDescent="0.2">
      <c r="A8" s="34" t="s">
        <v>76</v>
      </c>
      <c r="C8" s="19">
        <v>-208</v>
      </c>
      <c r="D8" s="19">
        <v>-199</v>
      </c>
      <c r="E8" s="19">
        <v>-194</v>
      </c>
      <c r="F8" s="19">
        <v>-226</v>
      </c>
      <c r="G8" s="19">
        <v>-194</v>
      </c>
      <c r="H8" s="19">
        <v>-234</v>
      </c>
      <c r="I8" s="19">
        <v>-225</v>
      </c>
      <c r="J8" s="19">
        <v>-227</v>
      </c>
      <c r="K8" s="19">
        <v>-194</v>
      </c>
      <c r="L8" s="19">
        <v>-181</v>
      </c>
      <c r="M8" s="19">
        <v>-184</v>
      </c>
      <c r="N8" s="19">
        <v>-241</v>
      </c>
      <c r="O8" s="19">
        <v>-281</v>
      </c>
      <c r="P8" s="19">
        <v>-257</v>
      </c>
      <c r="Q8" s="19">
        <v>-294</v>
      </c>
      <c r="R8" s="19">
        <v>-270</v>
      </c>
      <c r="S8" s="19">
        <v>-283</v>
      </c>
      <c r="T8" s="19">
        <v>-260</v>
      </c>
      <c r="U8" s="19">
        <v>-299</v>
      </c>
      <c r="V8" s="19">
        <v>-301</v>
      </c>
      <c r="W8" s="19">
        <v>-296</v>
      </c>
      <c r="X8" s="19">
        <v>-243</v>
      </c>
      <c r="Y8" s="19">
        <v>-249</v>
      </c>
      <c r="Z8" s="19">
        <v>-319</v>
      </c>
      <c r="AA8" s="19">
        <v>-414</v>
      </c>
      <c r="AB8" s="19">
        <v>-432</v>
      </c>
      <c r="AC8" s="19">
        <v>-424</v>
      </c>
      <c r="AD8" s="19">
        <v>-360</v>
      </c>
      <c r="AE8" s="19">
        <v>-420</v>
      </c>
      <c r="AF8" s="19">
        <v>-380</v>
      </c>
      <c r="AG8" s="19">
        <v>-400</v>
      </c>
      <c r="AH8" s="19">
        <v>-439</v>
      </c>
      <c r="AI8" s="19">
        <v>-410</v>
      </c>
      <c r="AJ8" s="19">
        <v>-348</v>
      </c>
      <c r="AK8" s="19">
        <v>-371</v>
      </c>
      <c r="AL8" s="19">
        <v>-441</v>
      </c>
    </row>
    <row r="9" spans="1:38" x14ac:dyDescent="0.2">
      <c r="A9" t="s">
        <v>77</v>
      </c>
      <c r="C9" s="19">
        <f t="shared" ref="C9:M9" si="0">SUM(C6:C8)</f>
        <v>610</v>
      </c>
      <c r="D9" s="19">
        <f t="shared" si="0"/>
        <v>572</v>
      </c>
      <c r="E9" s="19">
        <f t="shared" si="0"/>
        <v>574</v>
      </c>
      <c r="F9" s="19">
        <f t="shared" si="0"/>
        <v>553</v>
      </c>
      <c r="G9" s="19">
        <f t="shared" si="0"/>
        <v>582</v>
      </c>
      <c r="H9" s="19">
        <f t="shared" si="0"/>
        <v>556</v>
      </c>
      <c r="I9" s="19">
        <f t="shared" si="0"/>
        <v>571</v>
      </c>
      <c r="J9" s="19">
        <f t="shared" si="0"/>
        <v>499</v>
      </c>
      <c r="K9" s="19">
        <f t="shared" si="0"/>
        <v>532</v>
      </c>
      <c r="L9" s="19">
        <f t="shared" si="0"/>
        <v>506</v>
      </c>
      <c r="M9" s="19">
        <f t="shared" si="0"/>
        <v>496</v>
      </c>
      <c r="N9" s="19">
        <f>SUM(N6:N8)</f>
        <v>622</v>
      </c>
      <c r="O9" s="19">
        <f t="shared" ref="O9:Y9" si="1">SUM(O6:O8)</f>
        <v>631</v>
      </c>
      <c r="P9" s="19">
        <f t="shared" si="1"/>
        <v>762</v>
      </c>
      <c r="Q9" s="19">
        <f t="shared" si="1"/>
        <v>765</v>
      </c>
      <c r="R9" s="19">
        <f t="shared" si="1"/>
        <v>687</v>
      </c>
      <c r="S9" s="19">
        <f t="shared" si="1"/>
        <v>742</v>
      </c>
      <c r="T9" s="19">
        <f t="shared" si="1"/>
        <v>708</v>
      </c>
      <c r="U9" s="19">
        <f t="shared" si="1"/>
        <v>759</v>
      </c>
      <c r="V9" s="19">
        <f t="shared" si="1"/>
        <v>686</v>
      </c>
      <c r="W9" s="19">
        <f t="shared" si="1"/>
        <v>701</v>
      </c>
      <c r="X9" s="19">
        <f t="shared" si="1"/>
        <v>762</v>
      </c>
      <c r="Y9" s="19">
        <f t="shared" si="1"/>
        <v>794</v>
      </c>
      <c r="Z9" s="19">
        <f>SUM(Z6:Z8)</f>
        <v>760</v>
      </c>
      <c r="AA9" s="19">
        <f t="shared" ref="AA9:AK9" si="2">SUM(AA6:AA8)</f>
        <v>676</v>
      </c>
      <c r="AB9" s="19">
        <f t="shared" si="2"/>
        <v>578</v>
      </c>
      <c r="AC9" s="19">
        <f t="shared" si="2"/>
        <v>516</v>
      </c>
      <c r="AD9" s="19">
        <f t="shared" si="2"/>
        <v>704</v>
      </c>
      <c r="AE9" s="19">
        <f t="shared" si="2"/>
        <v>600</v>
      </c>
      <c r="AF9" s="19">
        <f t="shared" si="2"/>
        <v>627</v>
      </c>
      <c r="AG9" s="19">
        <f t="shared" si="2"/>
        <v>550</v>
      </c>
      <c r="AH9" s="19">
        <f t="shared" si="2"/>
        <v>494</v>
      </c>
      <c r="AI9" s="19">
        <f t="shared" si="2"/>
        <v>573</v>
      </c>
      <c r="AJ9" s="19">
        <f t="shared" si="2"/>
        <v>731</v>
      </c>
      <c r="AK9" s="19">
        <f t="shared" si="2"/>
        <v>558</v>
      </c>
      <c r="AL9" s="19">
        <f>SUM(AL6:AL8)</f>
        <v>489</v>
      </c>
    </row>
    <row r="10" spans="1:38" x14ac:dyDescent="0.2">
      <c r="A10" s="34" t="s">
        <v>78</v>
      </c>
      <c r="C10" s="19">
        <v>-55</v>
      </c>
      <c r="D10" s="19">
        <v>-61</v>
      </c>
      <c r="E10" s="19">
        <v>-55</v>
      </c>
      <c r="F10" s="19">
        <v>-53</v>
      </c>
      <c r="G10" s="19">
        <v>-48</v>
      </c>
      <c r="H10" s="19">
        <v>-48</v>
      </c>
      <c r="I10" s="19">
        <v>-55</v>
      </c>
      <c r="J10" s="19">
        <v>-49</v>
      </c>
      <c r="K10" s="19">
        <v>-58</v>
      </c>
      <c r="L10" s="19">
        <v>-56</v>
      </c>
      <c r="M10" s="19">
        <v>-51</v>
      </c>
      <c r="N10" s="19">
        <v>-64</v>
      </c>
      <c r="O10" s="19">
        <v>-65</v>
      </c>
      <c r="P10" s="19">
        <v>-67</v>
      </c>
      <c r="Q10" s="19">
        <v>-67</v>
      </c>
      <c r="R10" s="19">
        <v>-72</v>
      </c>
      <c r="S10" s="19">
        <v>-64</v>
      </c>
      <c r="T10" s="19">
        <v>-72</v>
      </c>
      <c r="U10" s="19">
        <v>-72</v>
      </c>
      <c r="V10" s="19">
        <v>-75</v>
      </c>
      <c r="W10" s="19">
        <v>-71</v>
      </c>
      <c r="X10" s="19">
        <v>-64</v>
      </c>
      <c r="Y10" s="19">
        <v>-73</v>
      </c>
      <c r="Z10" s="19">
        <v>-75</v>
      </c>
      <c r="AA10" s="19">
        <v>-75</v>
      </c>
      <c r="AB10" s="19">
        <v>-83</v>
      </c>
      <c r="AC10" s="19">
        <v>-81</v>
      </c>
      <c r="AD10" s="19">
        <v>-81</v>
      </c>
      <c r="AE10" s="19">
        <v>-79</v>
      </c>
      <c r="AF10" s="19">
        <v>-83</v>
      </c>
      <c r="AG10" s="19">
        <v>-77</v>
      </c>
      <c r="AH10" s="19">
        <v>-79</v>
      </c>
      <c r="AI10" s="19">
        <v>-79</v>
      </c>
      <c r="AJ10" s="19">
        <v>-79</v>
      </c>
      <c r="AK10" s="19">
        <v>-82</v>
      </c>
      <c r="AL10" s="19">
        <v>-84</v>
      </c>
    </row>
    <row r="11" spans="1:38" x14ac:dyDescent="0.2">
      <c r="A11" s="34" t="s">
        <v>80</v>
      </c>
      <c r="C11" s="19">
        <v>-17</v>
      </c>
      <c r="D11" s="19">
        <v>-16</v>
      </c>
      <c r="E11" s="19">
        <v>-17</v>
      </c>
      <c r="F11" s="19">
        <v>-16</v>
      </c>
      <c r="G11" s="19">
        <v>-17</v>
      </c>
      <c r="H11" s="19">
        <v>-16</v>
      </c>
      <c r="I11" s="19">
        <v>-20</v>
      </c>
      <c r="J11" s="19">
        <v>-20</v>
      </c>
      <c r="K11" s="19">
        <v>-19</v>
      </c>
      <c r="L11" s="19">
        <v>-19</v>
      </c>
      <c r="M11" s="19">
        <v>-19</v>
      </c>
      <c r="N11" s="19">
        <v>-21</v>
      </c>
      <c r="O11" s="19">
        <v>-31</v>
      </c>
      <c r="P11" s="19">
        <v>-31</v>
      </c>
      <c r="Q11" s="19">
        <v>-21</v>
      </c>
      <c r="R11" s="19">
        <v>-21</v>
      </c>
      <c r="S11" s="19">
        <v>-21</v>
      </c>
      <c r="T11" s="19">
        <v>-22</v>
      </c>
      <c r="U11" s="19">
        <v>-26</v>
      </c>
      <c r="V11" s="19">
        <v>-25</v>
      </c>
      <c r="W11" s="19">
        <v>-23</v>
      </c>
      <c r="X11" s="19">
        <v>-28</v>
      </c>
      <c r="Y11" s="19">
        <v>-22</v>
      </c>
      <c r="Z11" s="19">
        <v>-32</v>
      </c>
      <c r="AA11" s="19">
        <v>-30</v>
      </c>
      <c r="AB11" s="19">
        <v>-30</v>
      </c>
      <c r="AC11" s="19">
        <v>-31</v>
      </c>
      <c r="AD11" s="19">
        <v>-28</v>
      </c>
      <c r="AE11" s="19">
        <v>-28</v>
      </c>
      <c r="AF11" s="19">
        <v>-28</v>
      </c>
      <c r="AG11" s="19">
        <v>-27</v>
      </c>
      <c r="AH11" s="19">
        <v>-29</v>
      </c>
      <c r="AI11" s="19">
        <v>-27</v>
      </c>
      <c r="AJ11" s="19">
        <v>-31</v>
      </c>
      <c r="AK11" s="19">
        <v>-32</v>
      </c>
      <c r="AL11" s="19">
        <v>-27</v>
      </c>
    </row>
    <row r="12" spans="1:38" x14ac:dyDescent="0.2">
      <c r="A12" s="34" t="s">
        <v>79</v>
      </c>
      <c r="C12" s="19">
        <v>-43</v>
      </c>
      <c r="D12" s="19">
        <v>-46</v>
      </c>
      <c r="E12" s="19">
        <v>-40</v>
      </c>
      <c r="F12" s="19">
        <v>-45</v>
      </c>
      <c r="G12" s="19">
        <v>-38</v>
      </c>
      <c r="H12" s="19">
        <v>-40</v>
      </c>
      <c r="I12" s="19">
        <v>-35</v>
      </c>
      <c r="J12" s="19">
        <v>-45</v>
      </c>
      <c r="K12" s="19">
        <v>-44</v>
      </c>
      <c r="L12" s="19">
        <v>-42</v>
      </c>
      <c r="M12" s="19">
        <v>-35</v>
      </c>
      <c r="N12" s="19">
        <v>-46</v>
      </c>
      <c r="O12" s="19">
        <v>-45</v>
      </c>
      <c r="P12" s="19">
        <v>-40</v>
      </c>
      <c r="Q12" s="19">
        <v>-41</v>
      </c>
      <c r="R12" s="19">
        <v>-42</v>
      </c>
      <c r="S12" s="19">
        <v>-41</v>
      </c>
      <c r="T12" s="19">
        <v>-44</v>
      </c>
      <c r="U12" s="19">
        <v>-42</v>
      </c>
      <c r="V12" s="19">
        <v>-40</v>
      </c>
      <c r="W12" s="19">
        <v>-44</v>
      </c>
      <c r="X12" s="19">
        <v>-39</v>
      </c>
      <c r="Y12" s="19">
        <v>-46</v>
      </c>
      <c r="Z12" s="19">
        <v>-39</v>
      </c>
      <c r="AA12" s="19">
        <v>-40</v>
      </c>
      <c r="AB12" s="19">
        <v>-39</v>
      </c>
      <c r="AC12" s="19">
        <v>-40</v>
      </c>
      <c r="AD12" s="19">
        <v>-40</v>
      </c>
      <c r="AE12" s="19">
        <v>-39</v>
      </c>
      <c r="AF12" s="19">
        <v>-41</v>
      </c>
      <c r="AG12" s="19">
        <v>-41</v>
      </c>
      <c r="AH12" s="19">
        <v>-39</v>
      </c>
      <c r="AI12" s="19">
        <v>-41</v>
      </c>
      <c r="AJ12" s="19">
        <v>-39</v>
      </c>
      <c r="AK12" s="19">
        <v>-39</v>
      </c>
      <c r="AL12" s="19">
        <v>-41</v>
      </c>
    </row>
    <row r="13" spans="1:38" x14ac:dyDescent="0.2">
      <c r="A13" s="34" t="s">
        <v>81</v>
      </c>
      <c r="C13" s="19">
        <v>-178</v>
      </c>
      <c r="D13" s="19">
        <v>-208</v>
      </c>
      <c r="E13" s="19">
        <v>-170</v>
      </c>
      <c r="F13" s="19">
        <v>-191</v>
      </c>
      <c r="G13" s="19">
        <v>-188</v>
      </c>
      <c r="H13" s="19">
        <v>-175</v>
      </c>
      <c r="I13" s="19">
        <v>-180</v>
      </c>
      <c r="J13" s="19">
        <v>-167</v>
      </c>
      <c r="K13" s="19">
        <v>-166</v>
      </c>
      <c r="L13" s="19">
        <v>-192</v>
      </c>
      <c r="M13" s="19">
        <v>-193</v>
      </c>
      <c r="N13" s="19">
        <v>-210</v>
      </c>
      <c r="O13" s="19">
        <v>-280</v>
      </c>
      <c r="P13" s="19">
        <v>-233</v>
      </c>
      <c r="Q13" s="19">
        <v>-211</v>
      </c>
      <c r="R13" s="19">
        <v>-233</v>
      </c>
      <c r="S13" s="19">
        <v>-283</v>
      </c>
      <c r="T13" s="19">
        <v>-282</v>
      </c>
      <c r="U13" s="19">
        <v>-232</v>
      </c>
      <c r="V13" s="19">
        <v>-284</v>
      </c>
      <c r="W13" s="19">
        <v>-261</v>
      </c>
      <c r="X13" s="19">
        <v>-238</v>
      </c>
      <c r="Y13" s="19">
        <v>-255</v>
      </c>
      <c r="Z13" s="19">
        <v>-303</v>
      </c>
      <c r="AA13" s="19">
        <v>-303</v>
      </c>
      <c r="AB13" s="19">
        <v>-292</v>
      </c>
      <c r="AC13" s="19">
        <v>-231</v>
      </c>
      <c r="AD13" s="19">
        <v>-265</v>
      </c>
      <c r="AE13" s="19">
        <v>-240</v>
      </c>
      <c r="AF13" s="19">
        <v>-234</v>
      </c>
      <c r="AG13" s="19">
        <v>-271</v>
      </c>
      <c r="AH13" s="19">
        <v>-291</v>
      </c>
      <c r="AI13" s="19">
        <v>-294</v>
      </c>
      <c r="AJ13" s="19">
        <v>-291</v>
      </c>
      <c r="AK13" s="19">
        <v>-282</v>
      </c>
      <c r="AL13" s="19">
        <v>-231</v>
      </c>
    </row>
    <row r="14" spans="1:38" x14ac:dyDescent="0.2">
      <c r="A14" s="34" t="s">
        <v>82</v>
      </c>
      <c r="C14" s="19">
        <v>94</v>
      </c>
      <c r="D14" s="19">
        <v>95</v>
      </c>
      <c r="E14" s="19">
        <v>93</v>
      </c>
      <c r="F14" s="19">
        <v>88</v>
      </c>
      <c r="G14" s="19">
        <v>91</v>
      </c>
      <c r="H14" s="19">
        <v>103</v>
      </c>
      <c r="I14" s="19">
        <v>102</v>
      </c>
      <c r="J14" s="19">
        <v>88</v>
      </c>
      <c r="K14" s="19">
        <v>103</v>
      </c>
      <c r="L14" s="19">
        <v>101</v>
      </c>
      <c r="M14" s="19">
        <v>95</v>
      </c>
      <c r="N14" s="19">
        <v>103</v>
      </c>
      <c r="O14" s="19">
        <v>173</v>
      </c>
      <c r="P14" s="19">
        <v>112</v>
      </c>
      <c r="Q14" s="19">
        <v>119</v>
      </c>
      <c r="R14" s="19">
        <v>149</v>
      </c>
      <c r="S14" s="19">
        <v>148</v>
      </c>
      <c r="T14" s="19">
        <v>120</v>
      </c>
      <c r="U14" s="19">
        <v>109</v>
      </c>
      <c r="V14" s="19">
        <v>153</v>
      </c>
      <c r="W14" s="19">
        <v>117</v>
      </c>
      <c r="X14" s="19">
        <v>118</v>
      </c>
      <c r="Y14" s="19">
        <v>145</v>
      </c>
      <c r="Z14" s="19">
        <v>173</v>
      </c>
      <c r="AA14" s="19">
        <v>217</v>
      </c>
      <c r="AB14" s="19">
        <v>208</v>
      </c>
      <c r="AC14" s="19">
        <v>173</v>
      </c>
      <c r="AD14" s="19">
        <v>200</v>
      </c>
      <c r="AE14" s="19">
        <v>209</v>
      </c>
      <c r="AF14" s="19">
        <v>219</v>
      </c>
      <c r="AG14" s="19">
        <v>175</v>
      </c>
      <c r="AH14" s="19">
        <v>205</v>
      </c>
      <c r="AI14" s="19">
        <v>197</v>
      </c>
      <c r="AJ14" s="19">
        <v>186</v>
      </c>
      <c r="AK14" s="19">
        <v>205</v>
      </c>
      <c r="AL14" s="19">
        <v>219</v>
      </c>
    </row>
    <row r="15" spans="1:38" x14ac:dyDescent="0.2">
      <c r="A15" s="39" t="s">
        <v>124</v>
      </c>
      <c r="B15" s="39"/>
      <c r="C15" s="37">
        <f t="shared" ref="C15:M15" si="3">SUM(C9:C14)</f>
        <v>411</v>
      </c>
      <c r="D15" s="37">
        <f t="shared" si="3"/>
        <v>336</v>
      </c>
      <c r="E15" s="37">
        <f t="shared" si="3"/>
        <v>385</v>
      </c>
      <c r="F15" s="37">
        <f t="shared" si="3"/>
        <v>336</v>
      </c>
      <c r="G15" s="37">
        <f t="shared" si="3"/>
        <v>382</v>
      </c>
      <c r="H15" s="37">
        <f t="shared" si="3"/>
        <v>380</v>
      </c>
      <c r="I15" s="37">
        <f t="shared" si="3"/>
        <v>383</v>
      </c>
      <c r="J15" s="37">
        <f t="shared" si="3"/>
        <v>306</v>
      </c>
      <c r="K15" s="37">
        <f t="shared" si="3"/>
        <v>348</v>
      </c>
      <c r="L15" s="37">
        <f t="shared" si="3"/>
        <v>298</v>
      </c>
      <c r="M15" s="37">
        <f t="shared" si="3"/>
        <v>293</v>
      </c>
      <c r="N15" s="37">
        <f>SUM(N9:N14)</f>
        <v>384</v>
      </c>
      <c r="O15" s="37">
        <f t="shared" ref="O15:Y15" si="4">SUM(O9:O14)</f>
        <v>383</v>
      </c>
      <c r="P15" s="37">
        <f t="shared" si="4"/>
        <v>503</v>
      </c>
      <c r="Q15" s="37">
        <f t="shared" si="4"/>
        <v>544</v>
      </c>
      <c r="R15" s="37">
        <f t="shared" si="4"/>
        <v>468</v>
      </c>
      <c r="S15" s="37">
        <f t="shared" si="4"/>
        <v>481</v>
      </c>
      <c r="T15" s="37">
        <f t="shared" si="4"/>
        <v>408</v>
      </c>
      <c r="U15" s="37">
        <f t="shared" si="4"/>
        <v>496</v>
      </c>
      <c r="V15" s="37">
        <f t="shared" si="4"/>
        <v>415</v>
      </c>
      <c r="W15" s="37">
        <f t="shared" si="4"/>
        <v>419</v>
      </c>
      <c r="X15" s="37">
        <f t="shared" si="4"/>
        <v>511</v>
      </c>
      <c r="Y15" s="37">
        <f t="shared" si="4"/>
        <v>543</v>
      </c>
      <c r="Z15" s="37">
        <f>SUM(Z9:Z14)</f>
        <v>484</v>
      </c>
      <c r="AA15" s="37">
        <f t="shared" ref="AA15:AK15" si="5">SUM(AA9:AA14)</f>
        <v>445</v>
      </c>
      <c r="AB15" s="37">
        <f t="shared" si="5"/>
        <v>342</v>
      </c>
      <c r="AC15" s="37">
        <f t="shared" si="5"/>
        <v>306</v>
      </c>
      <c r="AD15" s="37">
        <f t="shared" si="5"/>
        <v>490</v>
      </c>
      <c r="AE15" s="37">
        <f t="shared" si="5"/>
        <v>423</v>
      </c>
      <c r="AF15" s="37">
        <f t="shared" si="5"/>
        <v>460</v>
      </c>
      <c r="AG15" s="37">
        <f t="shared" si="5"/>
        <v>309</v>
      </c>
      <c r="AH15" s="37">
        <f t="shared" si="5"/>
        <v>261</v>
      </c>
      <c r="AI15" s="37">
        <f t="shared" si="5"/>
        <v>329</v>
      </c>
      <c r="AJ15" s="37">
        <f t="shared" si="5"/>
        <v>477</v>
      </c>
      <c r="AK15" s="37">
        <f t="shared" si="5"/>
        <v>328</v>
      </c>
      <c r="AL15" s="37">
        <f>SUM(AL9:AL14)</f>
        <v>325</v>
      </c>
    </row>
    <row r="16" spans="1:38" s="81" customFormat="1" x14ac:dyDescent="0.2">
      <c r="A16" s="85"/>
      <c r="B16" s="85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</row>
    <row r="17" spans="1:38" x14ac:dyDescent="0.2">
      <c r="A17" s="87" t="s">
        <v>102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</row>
    <row r="18" spans="1:38" x14ac:dyDescent="0.2">
      <c r="A18" t="s">
        <v>120</v>
      </c>
      <c r="C18" s="19">
        <f>-C11</f>
        <v>17</v>
      </c>
      <c r="D18" s="19">
        <f t="shared" ref="D18:AL18" si="6">-D11</f>
        <v>16</v>
      </c>
      <c r="E18" s="19">
        <f t="shared" si="6"/>
        <v>17</v>
      </c>
      <c r="F18" s="19">
        <f t="shared" si="6"/>
        <v>16</v>
      </c>
      <c r="G18" s="19">
        <f t="shared" si="6"/>
        <v>17</v>
      </c>
      <c r="H18" s="19">
        <f t="shared" si="6"/>
        <v>16</v>
      </c>
      <c r="I18" s="19">
        <f t="shared" si="6"/>
        <v>20</v>
      </c>
      <c r="J18" s="19">
        <f t="shared" si="6"/>
        <v>20</v>
      </c>
      <c r="K18" s="19">
        <f t="shared" si="6"/>
        <v>19</v>
      </c>
      <c r="L18" s="19">
        <f t="shared" si="6"/>
        <v>19</v>
      </c>
      <c r="M18" s="19">
        <f t="shared" si="6"/>
        <v>19</v>
      </c>
      <c r="N18" s="19">
        <f t="shared" si="6"/>
        <v>21</v>
      </c>
      <c r="O18" s="19">
        <f t="shared" si="6"/>
        <v>31</v>
      </c>
      <c r="P18" s="19">
        <f t="shared" si="6"/>
        <v>31</v>
      </c>
      <c r="Q18" s="19">
        <f t="shared" si="6"/>
        <v>21</v>
      </c>
      <c r="R18" s="19">
        <f t="shared" si="6"/>
        <v>21</v>
      </c>
      <c r="S18" s="19">
        <f t="shared" si="6"/>
        <v>21</v>
      </c>
      <c r="T18" s="19">
        <f t="shared" si="6"/>
        <v>22</v>
      </c>
      <c r="U18" s="19">
        <f t="shared" si="6"/>
        <v>26</v>
      </c>
      <c r="V18" s="19">
        <f t="shared" si="6"/>
        <v>25</v>
      </c>
      <c r="W18" s="19">
        <f t="shared" si="6"/>
        <v>23</v>
      </c>
      <c r="X18" s="19">
        <f t="shared" si="6"/>
        <v>28</v>
      </c>
      <c r="Y18" s="19">
        <f t="shared" si="6"/>
        <v>22</v>
      </c>
      <c r="Z18" s="19">
        <f t="shared" si="6"/>
        <v>32</v>
      </c>
      <c r="AA18" s="19">
        <f t="shared" si="6"/>
        <v>30</v>
      </c>
      <c r="AB18" s="19">
        <f t="shared" si="6"/>
        <v>30</v>
      </c>
      <c r="AC18" s="19">
        <f t="shared" si="6"/>
        <v>31</v>
      </c>
      <c r="AD18" s="19">
        <f t="shared" si="6"/>
        <v>28</v>
      </c>
      <c r="AE18" s="19">
        <f t="shared" si="6"/>
        <v>28</v>
      </c>
      <c r="AF18" s="19">
        <f t="shared" si="6"/>
        <v>28</v>
      </c>
      <c r="AG18" s="19">
        <f t="shared" si="6"/>
        <v>27</v>
      </c>
      <c r="AH18" s="19">
        <f t="shared" si="6"/>
        <v>29</v>
      </c>
      <c r="AI18" s="19">
        <f t="shared" si="6"/>
        <v>27</v>
      </c>
      <c r="AJ18" s="19">
        <f t="shared" si="6"/>
        <v>31</v>
      </c>
      <c r="AK18" s="19">
        <f t="shared" si="6"/>
        <v>32</v>
      </c>
      <c r="AL18" s="19">
        <f t="shared" si="6"/>
        <v>27</v>
      </c>
    </row>
    <row r="19" spans="1:38" x14ac:dyDescent="0.2">
      <c r="A19" t="s">
        <v>121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46</v>
      </c>
      <c r="Y19" s="19">
        <v>46</v>
      </c>
      <c r="Z19" s="19">
        <v>46</v>
      </c>
      <c r="AA19" s="19">
        <v>46</v>
      </c>
      <c r="AB19" s="19">
        <v>46</v>
      </c>
      <c r="AC19" s="19">
        <v>46</v>
      </c>
      <c r="AD19" s="19">
        <v>46</v>
      </c>
      <c r="AE19" s="19">
        <v>46</v>
      </c>
      <c r="AF19" s="19">
        <v>125</v>
      </c>
      <c r="AG19" s="19">
        <v>125</v>
      </c>
      <c r="AH19" s="19">
        <v>125</v>
      </c>
      <c r="AI19" s="19">
        <v>125</v>
      </c>
      <c r="AJ19" s="19">
        <v>125</v>
      </c>
      <c r="AK19" s="19">
        <v>125</v>
      </c>
      <c r="AL19" s="19">
        <v>20</v>
      </c>
    </row>
    <row r="20" spans="1:38" x14ac:dyDescent="0.2">
      <c r="A20" t="s">
        <v>122</v>
      </c>
      <c r="C20" s="19">
        <v>0</v>
      </c>
      <c r="D20" s="19">
        <v>0.999999999999998</v>
      </c>
      <c r="E20" s="19">
        <v>2.299999999999998</v>
      </c>
      <c r="F20" s="19">
        <v>3.5999999999999979</v>
      </c>
      <c r="G20" s="19">
        <v>4.8999999999999977</v>
      </c>
      <c r="H20" s="19">
        <v>6.1999999999999975</v>
      </c>
      <c r="I20" s="19">
        <v>7.4999999999999973</v>
      </c>
      <c r="J20" s="19">
        <v>8.7999999999999972</v>
      </c>
      <c r="K20" s="19">
        <v>10.099999999999998</v>
      </c>
      <c r="L20" s="19">
        <v>11.399999999999999</v>
      </c>
      <c r="M20" s="19">
        <v>12.7</v>
      </c>
      <c r="N20" s="19">
        <v>14</v>
      </c>
      <c r="O20" s="19">
        <v>0</v>
      </c>
      <c r="P20" s="19">
        <v>0</v>
      </c>
      <c r="Q20" s="19">
        <v>2</v>
      </c>
      <c r="R20" s="19">
        <v>4</v>
      </c>
      <c r="S20" s="19">
        <v>6</v>
      </c>
      <c r="T20" s="19">
        <v>8</v>
      </c>
      <c r="U20" s="19">
        <v>10</v>
      </c>
      <c r="V20" s="19">
        <v>12</v>
      </c>
      <c r="W20" s="19">
        <v>14</v>
      </c>
      <c r="X20" s="19">
        <v>16</v>
      </c>
      <c r="Y20" s="19">
        <v>18</v>
      </c>
      <c r="Z20" s="19">
        <v>20</v>
      </c>
      <c r="AA20" s="19">
        <v>0</v>
      </c>
      <c r="AB20" s="19">
        <v>1</v>
      </c>
      <c r="AC20" s="19">
        <v>2.5</v>
      </c>
      <c r="AD20" s="19">
        <v>4</v>
      </c>
      <c r="AE20" s="19">
        <v>5.5</v>
      </c>
      <c r="AF20" s="19">
        <v>7</v>
      </c>
      <c r="AG20" s="19">
        <v>8.5</v>
      </c>
      <c r="AH20" s="19">
        <v>10</v>
      </c>
      <c r="AI20" s="19">
        <v>11.5</v>
      </c>
      <c r="AJ20" s="19">
        <v>13</v>
      </c>
      <c r="AK20" s="19">
        <v>14.5</v>
      </c>
      <c r="AL20" s="19">
        <v>16</v>
      </c>
    </row>
    <row r="21" spans="1:38" x14ac:dyDescent="0.2">
      <c r="A21" t="s">
        <v>123</v>
      </c>
      <c r="C21" s="19">
        <v>10</v>
      </c>
      <c r="D21" s="19">
        <v>10</v>
      </c>
      <c r="E21" s="19">
        <v>10</v>
      </c>
      <c r="F21" s="19">
        <v>10</v>
      </c>
      <c r="G21" s="19">
        <v>10</v>
      </c>
      <c r="H21" s="19">
        <v>10</v>
      </c>
      <c r="I21" s="19">
        <v>10</v>
      </c>
      <c r="J21" s="19">
        <v>10</v>
      </c>
      <c r="K21" s="19">
        <v>10</v>
      </c>
      <c r="L21" s="19">
        <v>10</v>
      </c>
      <c r="M21" s="19">
        <v>10</v>
      </c>
      <c r="N21" s="19">
        <v>10</v>
      </c>
      <c r="O21" s="19">
        <v>10</v>
      </c>
      <c r="P21" s="19">
        <v>10</v>
      </c>
      <c r="Q21" s="19">
        <v>10</v>
      </c>
      <c r="R21" s="19">
        <v>10</v>
      </c>
      <c r="S21" s="19">
        <v>10</v>
      </c>
      <c r="T21" s="19">
        <v>10</v>
      </c>
      <c r="U21" s="19">
        <v>10</v>
      </c>
      <c r="V21" s="19">
        <v>10</v>
      </c>
      <c r="W21" s="19">
        <v>10</v>
      </c>
      <c r="X21" s="19">
        <v>10</v>
      </c>
      <c r="Y21" s="19">
        <v>10</v>
      </c>
      <c r="Z21" s="19">
        <v>10</v>
      </c>
      <c r="AA21" s="19">
        <v>10</v>
      </c>
      <c r="AB21" s="19">
        <v>10</v>
      </c>
      <c r="AC21" s="19">
        <v>10</v>
      </c>
      <c r="AD21" s="19">
        <v>10</v>
      </c>
      <c r="AE21" s="19">
        <v>10</v>
      </c>
      <c r="AF21" s="19">
        <v>10</v>
      </c>
      <c r="AG21" s="19">
        <v>10</v>
      </c>
      <c r="AH21" s="19">
        <v>10</v>
      </c>
      <c r="AI21" s="19">
        <v>10</v>
      </c>
      <c r="AJ21" s="19">
        <v>10</v>
      </c>
      <c r="AK21" s="19">
        <v>10</v>
      </c>
      <c r="AL21" s="19">
        <v>10</v>
      </c>
    </row>
    <row r="22" spans="1:38" s="84" customFormat="1" x14ac:dyDescent="0.2">
      <c r="A22" s="82" t="s">
        <v>125</v>
      </c>
      <c r="B22" s="82"/>
      <c r="C22" s="83">
        <f>SUM(C18:C21)</f>
        <v>27</v>
      </c>
      <c r="D22" s="83">
        <f t="shared" ref="D22:AL22" si="7">SUM(D18:D21)</f>
        <v>26.999999999999996</v>
      </c>
      <c r="E22" s="83">
        <f t="shared" si="7"/>
        <v>29.299999999999997</v>
      </c>
      <c r="F22" s="83">
        <f t="shared" si="7"/>
        <v>29.599999999999998</v>
      </c>
      <c r="G22" s="83">
        <f t="shared" si="7"/>
        <v>31.9</v>
      </c>
      <c r="H22" s="83">
        <f t="shared" si="7"/>
        <v>32.199999999999996</v>
      </c>
      <c r="I22" s="83">
        <f t="shared" si="7"/>
        <v>37.5</v>
      </c>
      <c r="J22" s="83">
        <f t="shared" si="7"/>
        <v>38.799999999999997</v>
      </c>
      <c r="K22" s="83">
        <f t="shared" si="7"/>
        <v>39.099999999999994</v>
      </c>
      <c r="L22" s="83">
        <f t="shared" si="7"/>
        <v>40.4</v>
      </c>
      <c r="M22" s="83">
        <f t="shared" si="7"/>
        <v>41.7</v>
      </c>
      <c r="N22" s="83">
        <f t="shared" si="7"/>
        <v>45</v>
      </c>
      <c r="O22" s="83">
        <f t="shared" si="7"/>
        <v>41</v>
      </c>
      <c r="P22" s="83">
        <f t="shared" si="7"/>
        <v>41</v>
      </c>
      <c r="Q22" s="83">
        <f t="shared" si="7"/>
        <v>33</v>
      </c>
      <c r="R22" s="83">
        <f t="shared" si="7"/>
        <v>35</v>
      </c>
      <c r="S22" s="83">
        <f t="shared" si="7"/>
        <v>37</v>
      </c>
      <c r="T22" s="83">
        <f t="shared" si="7"/>
        <v>40</v>
      </c>
      <c r="U22" s="83">
        <f t="shared" si="7"/>
        <v>46</v>
      </c>
      <c r="V22" s="83">
        <f t="shared" si="7"/>
        <v>47</v>
      </c>
      <c r="W22" s="83">
        <f t="shared" si="7"/>
        <v>47</v>
      </c>
      <c r="X22" s="83">
        <f t="shared" si="7"/>
        <v>100</v>
      </c>
      <c r="Y22" s="83">
        <f t="shared" si="7"/>
        <v>96</v>
      </c>
      <c r="Z22" s="83">
        <f t="shared" si="7"/>
        <v>108</v>
      </c>
      <c r="AA22" s="83">
        <f t="shared" si="7"/>
        <v>86</v>
      </c>
      <c r="AB22" s="83">
        <f t="shared" si="7"/>
        <v>87</v>
      </c>
      <c r="AC22" s="83">
        <f t="shared" si="7"/>
        <v>89.5</v>
      </c>
      <c r="AD22" s="83">
        <f t="shared" si="7"/>
        <v>88</v>
      </c>
      <c r="AE22" s="83">
        <f t="shared" si="7"/>
        <v>89.5</v>
      </c>
      <c r="AF22" s="83">
        <f t="shared" si="7"/>
        <v>170</v>
      </c>
      <c r="AG22" s="83">
        <f t="shared" si="7"/>
        <v>170.5</v>
      </c>
      <c r="AH22" s="83">
        <f t="shared" si="7"/>
        <v>174</v>
      </c>
      <c r="AI22" s="83">
        <f t="shared" si="7"/>
        <v>173.5</v>
      </c>
      <c r="AJ22" s="83">
        <f t="shared" si="7"/>
        <v>179</v>
      </c>
      <c r="AK22" s="83">
        <f t="shared" si="7"/>
        <v>181.5</v>
      </c>
      <c r="AL22" s="83">
        <f t="shared" si="7"/>
        <v>73</v>
      </c>
    </row>
    <row r="24" spans="1:38" x14ac:dyDescent="0.2">
      <c r="A24" s="1" t="s">
        <v>208</v>
      </c>
    </row>
    <row r="25" spans="1:38" x14ac:dyDescent="0.2">
      <c r="A25" s="28" t="s">
        <v>39</v>
      </c>
      <c r="B25" s="50" t="s">
        <v>40</v>
      </c>
      <c r="C25" s="33">
        <v>42736</v>
      </c>
      <c r="D25" s="33">
        <v>42767</v>
      </c>
      <c r="E25" s="33">
        <v>42795</v>
      </c>
      <c r="F25" s="33">
        <v>42826</v>
      </c>
      <c r="G25" s="33">
        <v>42856</v>
      </c>
      <c r="H25" s="33">
        <v>42887</v>
      </c>
      <c r="I25" s="33">
        <v>42917</v>
      </c>
      <c r="J25" s="33">
        <v>42948</v>
      </c>
      <c r="K25" s="33">
        <v>42979</v>
      </c>
      <c r="L25" s="33">
        <v>43009</v>
      </c>
      <c r="M25" s="33">
        <v>43040</v>
      </c>
      <c r="N25" s="33">
        <v>43070</v>
      </c>
      <c r="O25" s="33">
        <v>43101</v>
      </c>
      <c r="P25" s="33">
        <v>43132</v>
      </c>
      <c r="Q25" s="33">
        <v>43160</v>
      </c>
      <c r="R25" s="33">
        <v>43191</v>
      </c>
      <c r="S25" s="33">
        <v>43221</v>
      </c>
      <c r="T25" s="33">
        <v>43252</v>
      </c>
      <c r="U25" s="33">
        <v>43282</v>
      </c>
      <c r="V25" s="33">
        <v>43313</v>
      </c>
      <c r="W25" s="33">
        <v>43344</v>
      </c>
      <c r="X25" s="33">
        <v>43374</v>
      </c>
      <c r="Y25" s="33">
        <v>43405</v>
      </c>
      <c r="Z25" s="33">
        <v>43435</v>
      </c>
      <c r="AA25" s="33">
        <v>43466</v>
      </c>
      <c r="AB25" s="33">
        <v>43497</v>
      </c>
      <c r="AC25" s="33">
        <v>43525</v>
      </c>
      <c r="AD25" s="33">
        <v>43556</v>
      </c>
      <c r="AE25" s="33">
        <v>43586</v>
      </c>
      <c r="AF25" s="33">
        <v>43617</v>
      </c>
      <c r="AG25" s="33">
        <v>43647</v>
      </c>
      <c r="AH25" s="33">
        <v>43678</v>
      </c>
      <c r="AI25" s="33">
        <v>43709</v>
      </c>
      <c r="AJ25" s="33">
        <v>43739</v>
      </c>
      <c r="AK25" s="33">
        <v>43770</v>
      </c>
      <c r="AL25" s="33">
        <v>43800</v>
      </c>
    </row>
    <row r="26" spans="1:38" x14ac:dyDescent="0.2">
      <c r="A26" s="34" t="s">
        <v>74</v>
      </c>
      <c r="C26" s="19">
        <f>C6</f>
        <v>485</v>
      </c>
      <c r="D26" s="19">
        <f t="shared" ref="D26:AL26" si="8">D6</f>
        <v>424</v>
      </c>
      <c r="E26" s="19">
        <f t="shared" si="8"/>
        <v>457</v>
      </c>
      <c r="F26" s="19">
        <f t="shared" si="8"/>
        <v>476</v>
      </c>
      <c r="G26" s="19">
        <f t="shared" si="8"/>
        <v>487</v>
      </c>
      <c r="H26" s="19">
        <f t="shared" si="8"/>
        <v>455</v>
      </c>
      <c r="I26" s="19">
        <f t="shared" si="8"/>
        <v>488</v>
      </c>
      <c r="J26" s="19">
        <f t="shared" si="8"/>
        <v>441</v>
      </c>
      <c r="K26" s="19">
        <f t="shared" si="8"/>
        <v>405</v>
      </c>
      <c r="L26" s="19">
        <f t="shared" si="8"/>
        <v>400</v>
      </c>
      <c r="M26" s="19">
        <f t="shared" si="8"/>
        <v>394</v>
      </c>
      <c r="N26" s="19">
        <f t="shared" si="8"/>
        <v>512</v>
      </c>
      <c r="O26" s="19">
        <f t="shared" si="8"/>
        <v>557</v>
      </c>
      <c r="P26" s="19">
        <f t="shared" si="8"/>
        <v>587</v>
      </c>
      <c r="Q26" s="19">
        <f t="shared" si="8"/>
        <v>601</v>
      </c>
      <c r="R26" s="19">
        <f t="shared" si="8"/>
        <v>569</v>
      </c>
      <c r="S26" s="19">
        <f t="shared" si="8"/>
        <v>582</v>
      </c>
      <c r="T26" s="19">
        <f t="shared" si="8"/>
        <v>566</v>
      </c>
      <c r="U26" s="19">
        <f t="shared" si="8"/>
        <v>617</v>
      </c>
      <c r="V26" s="19">
        <f t="shared" si="8"/>
        <v>598</v>
      </c>
      <c r="W26" s="19">
        <f t="shared" si="8"/>
        <v>575</v>
      </c>
      <c r="X26" s="19">
        <f t="shared" si="8"/>
        <v>572</v>
      </c>
      <c r="Y26" s="19">
        <f t="shared" si="8"/>
        <v>589</v>
      </c>
      <c r="Z26" s="19">
        <f t="shared" si="8"/>
        <v>618</v>
      </c>
      <c r="AA26" s="19">
        <f t="shared" si="8"/>
        <v>637</v>
      </c>
      <c r="AB26" s="19">
        <f t="shared" si="8"/>
        <v>669</v>
      </c>
      <c r="AC26" s="19">
        <f t="shared" si="8"/>
        <v>700</v>
      </c>
      <c r="AD26" s="19">
        <f t="shared" si="8"/>
        <v>685</v>
      </c>
      <c r="AE26" s="19">
        <f t="shared" si="8"/>
        <v>638</v>
      </c>
      <c r="AF26" s="19">
        <f t="shared" si="8"/>
        <v>693</v>
      </c>
      <c r="AG26" s="19">
        <f t="shared" si="8"/>
        <v>669</v>
      </c>
      <c r="AH26" s="19">
        <f t="shared" si="8"/>
        <v>666</v>
      </c>
      <c r="AI26" s="19">
        <f t="shared" si="8"/>
        <v>685</v>
      </c>
      <c r="AJ26" s="19">
        <f t="shared" si="8"/>
        <v>618</v>
      </c>
      <c r="AK26" s="19">
        <f t="shared" si="8"/>
        <v>624</v>
      </c>
      <c r="AL26" s="19">
        <f t="shared" si="8"/>
        <v>712</v>
      </c>
    </row>
    <row r="27" spans="1:38" x14ac:dyDescent="0.2">
      <c r="A27" s="34" t="s">
        <v>75</v>
      </c>
      <c r="C27" s="19">
        <f>C7</f>
        <v>333</v>
      </c>
      <c r="D27" s="19">
        <f t="shared" ref="D27:AL27" si="9">D7</f>
        <v>347</v>
      </c>
      <c r="E27" s="19">
        <f t="shared" si="9"/>
        <v>311</v>
      </c>
      <c r="F27" s="19">
        <f t="shared" si="9"/>
        <v>303</v>
      </c>
      <c r="G27" s="19">
        <f t="shared" si="9"/>
        <v>289</v>
      </c>
      <c r="H27" s="19">
        <f t="shared" si="9"/>
        <v>335</v>
      </c>
      <c r="I27" s="19">
        <f t="shared" si="9"/>
        <v>308</v>
      </c>
      <c r="J27" s="19">
        <f t="shared" si="9"/>
        <v>285</v>
      </c>
      <c r="K27" s="19">
        <f t="shared" si="9"/>
        <v>321</v>
      </c>
      <c r="L27" s="19">
        <f t="shared" si="9"/>
        <v>287</v>
      </c>
      <c r="M27" s="19">
        <f t="shared" si="9"/>
        <v>286</v>
      </c>
      <c r="N27" s="19">
        <f t="shared" si="9"/>
        <v>351</v>
      </c>
      <c r="O27" s="19">
        <f t="shared" si="9"/>
        <v>355</v>
      </c>
      <c r="P27" s="19">
        <f t="shared" si="9"/>
        <v>432</v>
      </c>
      <c r="Q27" s="19">
        <f t="shared" si="9"/>
        <v>458</v>
      </c>
      <c r="R27" s="19">
        <f t="shared" si="9"/>
        <v>388</v>
      </c>
      <c r="S27" s="19">
        <f t="shared" si="9"/>
        <v>443</v>
      </c>
      <c r="T27" s="19">
        <f t="shared" si="9"/>
        <v>402</v>
      </c>
      <c r="U27" s="19">
        <f t="shared" si="9"/>
        <v>441</v>
      </c>
      <c r="V27" s="19">
        <f t="shared" si="9"/>
        <v>389</v>
      </c>
      <c r="W27" s="19">
        <f t="shared" si="9"/>
        <v>422</v>
      </c>
      <c r="X27" s="19">
        <f t="shared" si="9"/>
        <v>433</v>
      </c>
      <c r="Y27" s="19">
        <f t="shared" si="9"/>
        <v>454</v>
      </c>
      <c r="Z27" s="19">
        <f t="shared" si="9"/>
        <v>461</v>
      </c>
      <c r="AA27" s="19">
        <f t="shared" si="9"/>
        <v>453</v>
      </c>
      <c r="AB27" s="19">
        <f t="shared" si="9"/>
        <v>341</v>
      </c>
      <c r="AC27" s="19">
        <f t="shared" si="9"/>
        <v>240</v>
      </c>
      <c r="AD27" s="19">
        <f t="shared" si="9"/>
        <v>379</v>
      </c>
      <c r="AE27" s="19">
        <f t="shared" si="9"/>
        <v>382</v>
      </c>
      <c r="AF27" s="19">
        <f t="shared" si="9"/>
        <v>314</v>
      </c>
      <c r="AG27" s="19">
        <f t="shared" si="9"/>
        <v>281</v>
      </c>
      <c r="AH27" s="19">
        <f t="shared" si="9"/>
        <v>267</v>
      </c>
      <c r="AI27" s="19">
        <f t="shared" si="9"/>
        <v>298</v>
      </c>
      <c r="AJ27" s="19">
        <f t="shared" si="9"/>
        <v>461</v>
      </c>
      <c r="AK27" s="19">
        <f t="shared" si="9"/>
        <v>305</v>
      </c>
      <c r="AL27" s="19">
        <f t="shared" si="9"/>
        <v>218</v>
      </c>
    </row>
    <row r="28" spans="1:38" x14ac:dyDescent="0.2">
      <c r="A28" s="34" t="s">
        <v>76</v>
      </c>
      <c r="C28" s="19">
        <f>C8</f>
        <v>-208</v>
      </c>
      <c r="D28" s="19">
        <f t="shared" ref="D28:AL28" si="10">D8</f>
        <v>-199</v>
      </c>
      <c r="E28" s="19">
        <f t="shared" si="10"/>
        <v>-194</v>
      </c>
      <c r="F28" s="19">
        <f t="shared" si="10"/>
        <v>-226</v>
      </c>
      <c r="G28" s="19">
        <f t="shared" si="10"/>
        <v>-194</v>
      </c>
      <c r="H28" s="19">
        <f t="shared" si="10"/>
        <v>-234</v>
      </c>
      <c r="I28" s="19">
        <f t="shared" si="10"/>
        <v>-225</v>
      </c>
      <c r="J28" s="19">
        <f t="shared" si="10"/>
        <v>-227</v>
      </c>
      <c r="K28" s="19">
        <f t="shared" si="10"/>
        <v>-194</v>
      </c>
      <c r="L28" s="19">
        <f t="shared" si="10"/>
        <v>-181</v>
      </c>
      <c r="M28" s="19">
        <f t="shared" si="10"/>
        <v>-184</v>
      </c>
      <c r="N28" s="19">
        <f t="shared" si="10"/>
        <v>-241</v>
      </c>
      <c r="O28" s="19">
        <f t="shared" si="10"/>
        <v>-281</v>
      </c>
      <c r="P28" s="19">
        <f t="shared" si="10"/>
        <v>-257</v>
      </c>
      <c r="Q28" s="19">
        <f t="shared" si="10"/>
        <v>-294</v>
      </c>
      <c r="R28" s="19">
        <f t="shared" si="10"/>
        <v>-270</v>
      </c>
      <c r="S28" s="19">
        <f t="shared" si="10"/>
        <v>-283</v>
      </c>
      <c r="T28" s="19">
        <f t="shared" si="10"/>
        <v>-260</v>
      </c>
      <c r="U28" s="19">
        <f t="shared" si="10"/>
        <v>-299</v>
      </c>
      <c r="V28" s="19">
        <f t="shared" si="10"/>
        <v>-301</v>
      </c>
      <c r="W28" s="19">
        <f t="shared" si="10"/>
        <v>-296</v>
      </c>
      <c r="X28" s="19">
        <f t="shared" si="10"/>
        <v>-243</v>
      </c>
      <c r="Y28" s="19">
        <f t="shared" si="10"/>
        <v>-249</v>
      </c>
      <c r="Z28" s="19">
        <f t="shared" si="10"/>
        <v>-319</v>
      </c>
      <c r="AA28" s="19">
        <f t="shared" si="10"/>
        <v>-414</v>
      </c>
      <c r="AB28" s="19">
        <f t="shared" si="10"/>
        <v>-432</v>
      </c>
      <c r="AC28" s="19">
        <f t="shared" si="10"/>
        <v>-424</v>
      </c>
      <c r="AD28" s="19">
        <f t="shared" si="10"/>
        <v>-360</v>
      </c>
      <c r="AE28" s="19">
        <f t="shared" si="10"/>
        <v>-420</v>
      </c>
      <c r="AF28" s="19">
        <f t="shared" si="10"/>
        <v>-380</v>
      </c>
      <c r="AG28" s="19">
        <f t="shared" si="10"/>
        <v>-400</v>
      </c>
      <c r="AH28" s="19">
        <f t="shared" si="10"/>
        <v>-439</v>
      </c>
      <c r="AI28" s="19">
        <f t="shared" si="10"/>
        <v>-410</v>
      </c>
      <c r="AJ28" s="19">
        <f t="shared" si="10"/>
        <v>-348</v>
      </c>
      <c r="AK28" s="19">
        <f t="shared" si="10"/>
        <v>-371</v>
      </c>
      <c r="AL28" s="19">
        <f t="shared" si="10"/>
        <v>-441</v>
      </c>
    </row>
    <row r="29" spans="1:38" x14ac:dyDescent="0.2">
      <c r="A29" t="s">
        <v>77</v>
      </c>
      <c r="C29" s="19">
        <f>SUM(C26:C28)</f>
        <v>610</v>
      </c>
      <c r="D29" s="19">
        <f t="shared" ref="D29:AL29" si="11">SUM(D26:D28)</f>
        <v>572</v>
      </c>
      <c r="E29" s="19">
        <f t="shared" si="11"/>
        <v>574</v>
      </c>
      <c r="F29" s="19">
        <f t="shared" si="11"/>
        <v>553</v>
      </c>
      <c r="G29" s="19">
        <f t="shared" si="11"/>
        <v>582</v>
      </c>
      <c r="H29" s="19">
        <f t="shared" si="11"/>
        <v>556</v>
      </c>
      <c r="I29" s="19">
        <f t="shared" si="11"/>
        <v>571</v>
      </c>
      <c r="J29" s="19">
        <f t="shared" si="11"/>
        <v>499</v>
      </c>
      <c r="K29" s="19">
        <f t="shared" si="11"/>
        <v>532</v>
      </c>
      <c r="L29" s="19">
        <f t="shared" si="11"/>
        <v>506</v>
      </c>
      <c r="M29" s="19">
        <f t="shared" si="11"/>
        <v>496</v>
      </c>
      <c r="N29" s="19">
        <f t="shared" si="11"/>
        <v>622</v>
      </c>
      <c r="O29" s="19">
        <f t="shared" si="11"/>
        <v>631</v>
      </c>
      <c r="P29" s="19">
        <f t="shared" si="11"/>
        <v>762</v>
      </c>
      <c r="Q29" s="19">
        <f t="shared" si="11"/>
        <v>765</v>
      </c>
      <c r="R29" s="19">
        <f t="shared" si="11"/>
        <v>687</v>
      </c>
      <c r="S29" s="19">
        <f t="shared" si="11"/>
        <v>742</v>
      </c>
      <c r="T29" s="19">
        <f t="shared" si="11"/>
        <v>708</v>
      </c>
      <c r="U29" s="19">
        <f t="shared" si="11"/>
        <v>759</v>
      </c>
      <c r="V29" s="19">
        <f t="shared" si="11"/>
        <v>686</v>
      </c>
      <c r="W29" s="19">
        <f t="shared" si="11"/>
        <v>701</v>
      </c>
      <c r="X29" s="19">
        <f t="shared" si="11"/>
        <v>762</v>
      </c>
      <c r="Y29" s="19">
        <f t="shared" si="11"/>
        <v>794</v>
      </c>
      <c r="Z29" s="19">
        <f t="shared" si="11"/>
        <v>760</v>
      </c>
      <c r="AA29" s="19">
        <f t="shared" si="11"/>
        <v>676</v>
      </c>
      <c r="AB29" s="19">
        <f t="shared" si="11"/>
        <v>578</v>
      </c>
      <c r="AC29" s="19">
        <f t="shared" si="11"/>
        <v>516</v>
      </c>
      <c r="AD29" s="19">
        <f t="shared" si="11"/>
        <v>704</v>
      </c>
      <c r="AE29" s="19">
        <f t="shared" si="11"/>
        <v>600</v>
      </c>
      <c r="AF29" s="19">
        <f t="shared" si="11"/>
        <v>627</v>
      </c>
      <c r="AG29" s="19">
        <f t="shared" si="11"/>
        <v>550</v>
      </c>
      <c r="AH29" s="19">
        <f t="shared" si="11"/>
        <v>494</v>
      </c>
      <c r="AI29" s="19">
        <f t="shared" si="11"/>
        <v>573</v>
      </c>
      <c r="AJ29" s="19">
        <f t="shared" si="11"/>
        <v>731</v>
      </c>
      <c r="AK29" s="19">
        <f t="shared" si="11"/>
        <v>558</v>
      </c>
      <c r="AL29" s="19">
        <f t="shared" si="11"/>
        <v>489</v>
      </c>
    </row>
    <row r="30" spans="1:38" x14ac:dyDescent="0.2">
      <c r="A30" s="34" t="s">
        <v>78</v>
      </c>
      <c r="C30" s="19">
        <f>C10</f>
        <v>-55</v>
      </c>
      <c r="D30" s="19">
        <f t="shared" ref="D30:AL30" si="12">D10</f>
        <v>-61</v>
      </c>
      <c r="E30" s="19">
        <f t="shared" si="12"/>
        <v>-55</v>
      </c>
      <c r="F30" s="19">
        <f t="shared" si="12"/>
        <v>-53</v>
      </c>
      <c r="G30" s="19">
        <f t="shared" si="12"/>
        <v>-48</v>
      </c>
      <c r="H30" s="19">
        <f t="shared" si="12"/>
        <v>-48</v>
      </c>
      <c r="I30" s="19">
        <f t="shared" si="12"/>
        <v>-55</v>
      </c>
      <c r="J30" s="19">
        <f t="shared" si="12"/>
        <v>-49</v>
      </c>
      <c r="K30" s="19">
        <f t="shared" si="12"/>
        <v>-58</v>
      </c>
      <c r="L30" s="19">
        <f t="shared" si="12"/>
        <v>-56</v>
      </c>
      <c r="M30" s="19">
        <f t="shared" si="12"/>
        <v>-51</v>
      </c>
      <c r="N30" s="19">
        <f t="shared" si="12"/>
        <v>-64</v>
      </c>
      <c r="O30" s="19">
        <f t="shared" si="12"/>
        <v>-65</v>
      </c>
      <c r="P30" s="19">
        <f t="shared" si="12"/>
        <v>-67</v>
      </c>
      <c r="Q30" s="19">
        <f t="shared" si="12"/>
        <v>-67</v>
      </c>
      <c r="R30" s="19">
        <f t="shared" si="12"/>
        <v>-72</v>
      </c>
      <c r="S30" s="19">
        <f t="shared" si="12"/>
        <v>-64</v>
      </c>
      <c r="T30" s="19">
        <f t="shared" si="12"/>
        <v>-72</v>
      </c>
      <c r="U30" s="19">
        <f t="shared" si="12"/>
        <v>-72</v>
      </c>
      <c r="V30" s="19">
        <f t="shared" si="12"/>
        <v>-75</v>
      </c>
      <c r="W30" s="19">
        <f t="shared" si="12"/>
        <v>-71</v>
      </c>
      <c r="X30" s="19">
        <f t="shared" si="12"/>
        <v>-64</v>
      </c>
      <c r="Y30" s="19">
        <f t="shared" si="12"/>
        <v>-73</v>
      </c>
      <c r="Z30" s="19">
        <f t="shared" si="12"/>
        <v>-75</v>
      </c>
      <c r="AA30" s="19">
        <f t="shared" si="12"/>
        <v>-75</v>
      </c>
      <c r="AB30" s="19">
        <f t="shared" si="12"/>
        <v>-83</v>
      </c>
      <c r="AC30" s="19">
        <f t="shared" si="12"/>
        <v>-81</v>
      </c>
      <c r="AD30" s="19">
        <f t="shared" si="12"/>
        <v>-81</v>
      </c>
      <c r="AE30" s="19">
        <f t="shared" si="12"/>
        <v>-79</v>
      </c>
      <c r="AF30" s="19">
        <f t="shared" si="12"/>
        <v>-83</v>
      </c>
      <c r="AG30" s="19">
        <f t="shared" si="12"/>
        <v>-77</v>
      </c>
      <c r="AH30" s="19">
        <f t="shared" si="12"/>
        <v>-79</v>
      </c>
      <c r="AI30" s="19">
        <f t="shared" si="12"/>
        <v>-79</v>
      </c>
      <c r="AJ30" s="19">
        <f t="shared" si="12"/>
        <v>-79</v>
      </c>
      <c r="AK30" s="19">
        <f t="shared" si="12"/>
        <v>-82</v>
      </c>
      <c r="AL30" s="19">
        <f t="shared" si="12"/>
        <v>-84</v>
      </c>
    </row>
    <row r="31" spans="1:38" x14ac:dyDescent="0.2">
      <c r="A31" s="34" t="s">
        <v>79</v>
      </c>
      <c r="C31" s="19">
        <f>C12</f>
        <v>-43</v>
      </c>
      <c r="D31" s="19">
        <f t="shared" ref="D31:AL31" si="13">D12</f>
        <v>-46</v>
      </c>
      <c r="E31" s="19">
        <f t="shared" si="13"/>
        <v>-40</v>
      </c>
      <c r="F31" s="19">
        <f t="shared" si="13"/>
        <v>-45</v>
      </c>
      <c r="G31" s="19">
        <f t="shared" si="13"/>
        <v>-38</v>
      </c>
      <c r="H31" s="19">
        <f t="shared" si="13"/>
        <v>-40</v>
      </c>
      <c r="I31" s="19">
        <f t="shared" si="13"/>
        <v>-35</v>
      </c>
      <c r="J31" s="19">
        <f t="shared" si="13"/>
        <v>-45</v>
      </c>
      <c r="K31" s="19">
        <f t="shared" si="13"/>
        <v>-44</v>
      </c>
      <c r="L31" s="19">
        <f t="shared" si="13"/>
        <v>-42</v>
      </c>
      <c r="M31" s="19">
        <f t="shared" si="13"/>
        <v>-35</v>
      </c>
      <c r="N31" s="19">
        <f t="shared" si="13"/>
        <v>-46</v>
      </c>
      <c r="O31" s="19">
        <f t="shared" si="13"/>
        <v>-45</v>
      </c>
      <c r="P31" s="19">
        <f t="shared" si="13"/>
        <v>-40</v>
      </c>
      <c r="Q31" s="19">
        <f t="shared" si="13"/>
        <v>-41</v>
      </c>
      <c r="R31" s="19">
        <f t="shared" si="13"/>
        <v>-42</v>
      </c>
      <c r="S31" s="19">
        <f t="shared" si="13"/>
        <v>-41</v>
      </c>
      <c r="T31" s="19">
        <f t="shared" si="13"/>
        <v>-44</v>
      </c>
      <c r="U31" s="19">
        <f t="shared" si="13"/>
        <v>-42</v>
      </c>
      <c r="V31" s="19">
        <f t="shared" si="13"/>
        <v>-40</v>
      </c>
      <c r="W31" s="19">
        <f t="shared" si="13"/>
        <v>-44</v>
      </c>
      <c r="X31" s="19">
        <f t="shared" si="13"/>
        <v>-39</v>
      </c>
      <c r="Y31" s="19">
        <f t="shared" si="13"/>
        <v>-46</v>
      </c>
      <c r="Z31" s="19">
        <f t="shared" si="13"/>
        <v>-39</v>
      </c>
      <c r="AA31" s="19">
        <f t="shared" si="13"/>
        <v>-40</v>
      </c>
      <c r="AB31" s="19">
        <f t="shared" si="13"/>
        <v>-39</v>
      </c>
      <c r="AC31" s="19">
        <f t="shared" si="13"/>
        <v>-40</v>
      </c>
      <c r="AD31" s="19">
        <f t="shared" si="13"/>
        <v>-40</v>
      </c>
      <c r="AE31" s="19">
        <f t="shared" si="13"/>
        <v>-39</v>
      </c>
      <c r="AF31" s="19">
        <f t="shared" si="13"/>
        <v>-41</v>
      </c>
      <c r="AG31" s="19">
        <f t="shared" si="13"/>
        <v>-41</v>
      </c>
      <c r="AH31" s="19">
        <f t="shared" si="13"/>
        <v>-39</v>
      </c>
      <c r="AI31" s="19">
        <f t="shared" si="13"/>
        <v>-41</v>
      </c>
      <c r="AJ31" s="19">
        <f t="shared" si="13"/>
        <v>-39</v>
      </c>
      <c r="AK31" s="19">
        <f t="shared" si="13"/>
        <v>-39</v>
      </c>
      <c r="AL31" s="19">
        <f t="shared" si="13"/>
        <v>-41</v>
      </c>
    </row>
    <row r="32" spans="1:38" x14ac:dyDescent="0.2">
      <c r="A32" s="34" t="s">
        <v>81</v>
      </c>
      <c r="C32" s="19">
        <f>SUM(C13,C19,C20,C21)</f>
        <v>-168</v>
      </c>
      <c r="D32" s="19">
        <f t="shared" ref="D32:AL32" si="14">SUM(D13,D19,D20,D21)</f>
        <v>-197</v>
      </c>
      <c r="E32" s="19">
        <f t="shared" si="14"/>
        <v>-157.69999999999999</v>
      </c>
      <c r="F32" s="19">
        <f t="shared" si="14"/>
        <v>-177.4</v>
      </c>
      <c r="G32" s="19">
        <f t="shared" si="14"/>
        <v>-173.1</v>
      </c>
      <c r="H32" s="19">
        <f t="shared" si="14"/>
        <v>-158.80000000000001</v>
      </c>
      <c r="I32" s="19">
        <f t="shared" si="14"/>
        <v>-162.5</v>
      </c>
      <c r="J32" s="19">
        <f t="shared" si="14"/>
        <v>-148.19999999999999</v>
      </c>
      <c r="K32" s="19">
        <f t="shared" si="14"/>
        <v>-145.9</v>
      </c>
      <c r="L32" s="19">
        <f t="shared" si="14"/>
        <v>-170.6</v>
      </c>
      <c r="M32" s="19">
        <f t="shared" si="14"/>
        <v>-170.3</v>
      </c>
      <c r="N32" s="19">
        <f t="shared" si="14"/>
        <v>-186</v>
      </c>
      <c r="O32" s="19">
        <f t="shared" si="14"/>
        <v>-270</v>
      </c>
      <c r="P32" s="19">
        <f t="shared" si="14"/>
        <v>-223</v>
      </c>
      <c r="Q32" s="19">
        <f t="shared" si="14"/>
        <v>-199</v>
      </c>
      <c r="R32" s="19">
        <f t="shared" si="14"/>
        <v>-219</v>
      </c>
      <c r="S32" s="19">
        <f t="shared" si="14"/>
        <v>-267</v>
      </c>
      <c r="T32" s="19">
        <f t="shared" si="14"/>
        <v>-264</v>
      </c>
      <c r="U32" s="19">
        <f t="shared" si="14"/>
        <v>-212</v>
      </c>
      <c r="V32" s="19">
        <f t="shared" si="14"/>
        <v>-262</v>
      </c>
      <c r="W32" s="19">
        <f t="shared" si="14"/>
        <v>-237</v>
      </c>
      <c r="X32" s="19">
        <f t="shared" si="14"/>
        <v>-166</v>
      </c>
      <c r="Y32" s="19">
        <f t="shared" si="14"/>
        <v>-181</v>
      </c>
      <c r="Z32" s="19">
        <f t="shared" si="14"/>
        <v>-227</v>
      </c>
      <c r="AA32" s="19">
        <f t="shared" si="14"/>
        <v>-247</v>
      </c>
      <c r="AB32" s="19">
        <f t="shared" si="14"/>
        <v>-235</v>
      </c>
      <c r="AC32" s="19">
        <f t="shared" si="14"/>
        <v>-172.5</v>
      </c>
      <c r="AD32" s="19">
        <f t="shared" si="14"/>
        <v>-205</v>
      </c>
      <c r="AE32" s="19">
        <f t="shared" si="14"/>
        <v>-178.5</v>
      </c>
      <c r="AF32" s="19">
        <f t="shared" si="14"/>
        <v>-92</v>
      </c>
      <c r="AG32" s="19">
        <f t="shared" si="14"/>
        <v>-127.5</v>
      </c>
      <c r="AH32" s="19">
        <f t="shared" si="14"/>
        <v>-146</v>
      </c>
      <c r="AI32" s="19">
        <f t="shared" si="14"/>
        <v>-147.5</v>
      </c>
      <c r="AJ32" s="19">
        <f t="shared" si="14"/>
        <v>-143</v>
      </c>
      <c r="AK32" s="19">
        <f t="shared" si="14"/>
        <v>-132.5</v>
      </c>
      <c r="AL32" s="19">
        <f t="shared" si="14"/>
        <v>-185</v>
      </c>
    </row>
    <row r="33" spans="1:38" x14ac:dyDescent="0.2">
      <c r="A33" s="34" t="s">
        <v>82</v>
      </c>
      <c r="C33" s="19">
        <f>C14</f>
        <v>94</v>
      </c>
      <c r="D33" s="19">
        <f t="shared" ref="D33:AL33" si="15">D14</f>
        <v>95</v>
      </c>
      <c r="E33" s="19">
        <f t="shared" si="15"/>
        <v>93</v>
      </c>
      <c r="F33" s="19">
        <f t="shared" si="15"/>
        <v>88</v>
      </c>
      <c r="G33" s="19">
        <f t="shared" si="15"/>
        <v>91</v>
      </c>
      <c r="H33" s="19">
        <f t="shared" si="15"/>
        <v>103</v>
      </c>
      <c r="I33" s="19">
        <f t="shared" si="15"/>
        <v>102</v>
      </c>
      <c r="J33" s="19">
        <f t="shared" si="15"/>
        <v>88</v>
      </c>
      <c r="K33" s="19">
        <f t="shared" si="15"/>
        <v>103</v>
      </c>
      <c r="L33" s="19">
        <f t="shared" si="15"/>
        <v>101</v>
      </c>
      <c r="M33" s="19">
        <f t="shared" si="15"/>
        <v>95</v>
      </c>
      <c r="N33" s="19">
        <f t="shared" si="15"/>
        <v>103</v>
      </c>
      <c r="O33" s="19">
        <f t="shared" si="15"/>
        <v>173</v>
      </c>
      <c r="P33" s="19">
        <f t="shared" si="15"/>
        <v>112</v>
      </c>
      <c r="Q33" s="19">
        <f t="shared" si="15"/>
        <v>119</v>
      </c>
      <c r="R33" s="19">
        <f t="shared" si="15"/>
        <v>149</v>
      </c>
      <c r="S33" s="19">
        <f t="shared" si="15"/>
        <v>148</v>
      </c>
      <c r="T33" s="19">
        <f t="shared" si="15"/>
        <v>120</v>
      </c>
      <c r="U33" s="19">
        <f t="shared" si="15"/>
        <v>109</v>
      </c>
      <c r="V33" s="19">
        <f t="shared" si="15"/>
        <v>153</v>
      </c>
      <c r="W33" s="19">
        <f t="shared" si="15"/>
        <v>117</v>
      </c>
      <c r="X33" s="19">
        <f t="shared" si="15"/>
        <v>118</v>
      </c>
      <c r="Y33" s="19">
        <f t="shared" si="15"/>
        <v>145</v>
      </c>
      <c r="Z33" s="19">
        <f t="shared" si="15"/>
        <v>173</v>
      </c>
      <c r="AA33" s="19">
        <f t="shared" si="15"/>
        <v>217</v>
      </c>
      <c r="AB33" s="19">
        <f t="shared" si="15"/>
        <v>208</v>
      </c>
      <c r="AC33" s="19">
        <f t="shared" si="15"/>
        <v>173</v>
      </c>
      <c r="AD33" s="19">
        <f t="shared" si="15"/>
        <v>200</v>
      </c>
      <c r="AE33" s="19">
        <f t="shared" si="15"/>
        <v>209</v>
      </c>
      <c r="AF33" s="19">
        <f t="shared" si="15"/>
        <v>219</v>
      </c>
      <c r="AG33" s="19">
        <f t="shared" si="15"/>
        <v>175</v>
      </c>
      <c r="AH33" s="19">
        <f t="shared" si="15"/>
        <v>205</v>
      </c>
      <c r="AI33" s="19">
        <f t="shared" si="15"/>
        <v>197</v>
      </c>
      <c r="AJ33" s="19">
        <f t="shared" si="15"/>
        <v>186</v>
      </c>
      <c r="AK33" s="19">
        <f t="shared" si="15"/>
        <v>205</v>
      </c>
      <c r="AL33" s="19">
        <f t="shared" si="15"/>
        <v>219</v>
      </c>
    </row>
    <row r="34" spans="1:38" x14ac:dyDescent="0.2">
      <c r="A34" s="39" t="s">
        <v>208</v>
      </c>
      <c r="B34" s="39"/>
      <c r="C34" s="37">
        <f>SUM(C29:C33)</f>
        <v>438</v>
      </c>
      <c r="D34" s="37">
        <f t="shared" ref="D34:AL34" si="16">SUM(D29:D33)</f>
        <v>363</v>
      </c>
      <c r="E34" s="37">
        <f t="shared" si="16"/>
        <v>414.3</v>
      </c>
      <c r="F34" s="37">
        <f t="shared" si="16"/>
        <v>365.6</v>
      </c>
      <c r="G34" s="37">
        <f t="shared" si="16"/>
        <v>413.9</v>
      </c>
      <c r="H34" s="37">
        <f t="shared" si="16"/>
        <v>412.2</v>
      </c>
      <c r="I34" s="37">
        <f t="shared" si="16"/>
        <v>420.5</v>
      </c>
      <c r="J34" s="37">
        <f t="shared" si="16"/>
        <v>344.8</v>
      </c>
      <c r="K34" s="37">
        <f t="shared" si="16"/>
        <v>387.1</v>
      </c>
      <c r="L34" s="37">
        <f t="shared" si="16"/>
        <v>338.4</v>
      </c>
      <c r="M34" s="37">
        <f t="shared" si="16"/>
        <v>334.7</v>
      </c>
      <c r="N34" s="37">
        <f t="shared" si="16"/>
        <v>429</v>
      </c>
      <c r="O34" s="37">
        <f t="shared" si="16"/>
        <v>424</v>
      </c>
      <c r="P34" s="37">
        <f t="shared" si="16"/>
        <v>544</v>
      </c>
      <c r="Q34" s="37">
        <f t="shared" si="16"/>
        <v>577</v>
      </c>
      <c r="R34" s="37">
        <f t="shared" si="16"/>
        <v>503</v>
      </c>
      <c r="S34" s="37">
        <f t="shared" si="16"/>
        <v>518</v>
      </c>
      <c r="T34" s="37">
        <f t="shared" si="16"/>
        <v>448</v>
      </c>
      <c r="U34" s="37">
        <f t="shared" si="16"/>
        <v>542</v>
      </c>
      <c r="V34" s="37">
        <f t="shared" si="16"/>
        <v>462</v>
      </c>
      <c r="W34" s="37">
        <f t="shared" si="16"/>
        <v>466</v>
      </c>
      <c r="X34" s="37">
        <f t="shared" si="16"/>
        <v>611</v>
      </c>
      <c r="Y34" s="37">
        <f t="shared" si="16"/>
        <v>639</v>
      </c>
      <c r="Z34" s="37">
        <f t="shared" si="16"/>
        <v>592</v>
      </c>
      <c r="AA34" s="37">
        <f t="shared" si="16"/>
        <v>531</v>
      </c>
      <c r="AB34" s="37">
        <f t="shared" si="16"/>
        <v>429</v>
      </c>
      <c r="AC34" s="37">
        <f t="shared" si="16"/>
        <v>395.5</v>
      </c>
      <c r="AD34" s="37">
        <f t="shared" si="16"/>
        <v>578</v>
      </c>
      <c r="AE34" s="37">
        <f t="shared" si="16"/>
        <v>512.5</v>
      </c>
      <c r="AF34" s="37">
        <f t="shared" si="16"/>
        <v>630</v>
      </c>
      <c r="AG34" s="37">
        <f t="shared" si="16"/>
        <v>479.5</v>
      </c>
      <c r="AH34" s="37">
        <f t="shared" si="16"/>
        <v>435</v>
      </c>
      <c r="AI34" s="37">
        <f t="shared" si="16"/>
        <v>502.5</v>
      </c>
      <c r="AJ34" s="37">
        <f t="shared" si="16"/>
        <v>656</v>
      </c>
      <c r="AK34" s="37">
        <f t="shared" si="16"/>
        <v>509.5</v>
      </c>
      <c r="AL34" s="37">
        <f t="shared" si="16"/>
        <v>398</v>
      </c>
    </row>
    <row r="35" spans="1:38" s="6" customFormat="1" x14ac:dyDescent="0.2">
      <c r="A35" s="6" t="s">
        <v>209</v>
      </c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>
        <f>AVERAGE(C34:N34)</f>
        <v>388.45833333333331</v>
      </c>
      <c r="O35" s="88">
        <f t="shared" ref="O35:AL35" si="17">AVERAGE(D34:O34)</f>
        <v>387.29166666666669</v>
      </c>
      <c r="P35" s="88">
        <f t="shared" si="17"/>
        <v>402.375</v>
      </c>
      <c r="Q35" s="88">
        <f t="shared" si="17"/>
        <v>415.93333333333334</v>
      </c>
      <c r="R35" s="88">
        <f t="shared" si="17"/>
        <v>427.38333333333338</v>
      </c>
      <c r="S35" s="88">
        <f t="shared" si="17"/>
        <v>436.05833333333334</v>
      </c>
      <c r="T35" s="88">
        <f t="shared" si="17"/>
        <v>439.04166666666669</v>
      </c>
      <c r="U35" s="88">
        <f t="shared" si="17"/>
        <v>449.16666666666669</v>
      </c>
      <c r="V35" s="88">
        <f t="shared" si="17"/>
        <v>458.93333333333334</v>
      </c>
      <c r="W35" s="88">
        <f t="shared" si="17"/>
        <v>465.50833333333338</v>
      </c>
      <c r="X35" s="88">
        <f t="shared" si="17"/>
        <v>488.22499999999997</v>
      </c>
      <c r="Y35" s="88">
        <f t="shared" si="17"/>
        <v>513.58333333333337</v>
      </c>
      <c r="Z35" s="88">
        <f t="shared" si="17"/>
        <v>527.16666666666663</v>
      </c>
      <c r="AA35" s="88">
        <f t="shared" si="17"/>
        <v>536.08333333333337</v>
      </c>
      <c r="AB35" s="88">
        <f t="shared" si="17"/>
        <v>526.5</v>
      </c>
      <c r="AC35" s="88">
        <f t="shared" si="17"/>
        <v>511.375</v>
      </c>
      <c r="AD35" s="88">
        <f t="shared" si="17"/>
        <v>517.625</v>
      </c>
      <c r="AE35" s="88">
        <f t="shared" si="17"/>
        <v>517.16666666666663</v>
      </c>
      <c r="AF35" s="88">
        <f t="shared" si="17"/>
        <v>532.33333333333337</v>
      </c>
      <c r="AG35" s="88">
        <f t="shared" si="17"/>
        <v>527.125</v>
      </c>
      <c r="AH35" s="88">
        <f t="shared" si="17"/>
        <v>524.875</v>
      </c>
      <c r="AI35" s="88">
        <f t="shared" si="17"/>
        <v>527.91666666666663</v>
      </c>
      <c r="AJ35" s="88">
        <f t="shared" si="17"/>
        <v>531.66666666666663</v>
      </c>
      <c r="AK35" s="88">
        <f t="shared" si="17"/>
        <v>520.875</v>
      </c>
      <c r="AL35" s="88">
        <f t="shared" si="17"/>
        <v>504.70833333333331</v>
      </c>
    </row>
    <row r="36" spans="1:38" s="6" customFormat="1" x14ac:dyDescent="0.2">
      <c r="A36" s="6" t="s">
        <v>210</v>
      </c>
      <c r="C36" s="88">
        <f>MIN($C$34:$N$34)</f>
        <v>334.7</v>
      </c>
      <c r="D36" s="88">
        <f t="shared" ref="D36:M36" si="18">MIN($C$34:$N$34)</f>
        <v>334.7</v>
      </c>
      <c r="E36" s="88">
        <f t="shared" si="18"/>
        <v>334.7</v>
      </c>
      <c r="F36" s="88">
        <f t="shared" si="18"/>
        <v>334.7</v>
      </c>
      <c r="G36" s="88">
        <f t="shared" si="18"/>
        <v>334.7</v>
      </c>
      <c r="H36" s="88">
        <f t="shared" si="18"/>
        <v>334.7</v>
      </c>
      <c r="I36" s="88">
        <f t="shared" si="18"/>
        <v>334.7</v>
      </c>
      <c r="J36" s="88">
        <f t="shared" si="18"/>
        <v>334.7</v>
      </c>
      <c r="K36" s="88">
        <f t="shared" si="18"/>
        <v>334.7</v>
      </c>
      <c r="L36" s="88">
        <f t="shared" si="18"/>
        <v>334.7</v>
      </c>
      <c r="M36" s="88">
        <f t="shared" si="18"/>
        <v>334.7</v>
      </c>
      <c r="N36" s="88"/>
      <c r="O36" s="88">
        <f>MIN($O$34:$Z$34)</f>
        <v>424</v>
      </c>
      <c r="P36" s="88">
        <f t="shared" ref="P36:Y36" si="19">MIN($O$34:$Z$34)</f>
        <v>424</v>
      </c>
      <c r="Q36" s="88">
        <f t="shared" si="19"/>
        <v>424</v>
      </c>
      <c r="R36" s="88">
        <f t="shared" si="19"/>
        <v>424</v>
      </c>
      <c r="S36" s="88">
        <f t="shared" si="19"/>
        <v>424</v>
      </c>
      <c r="T36" s="88">
        <f t="shared" si="19"/>
        <v>424</v>
      </c>
      <c r="U36" s="88">
        <f t="shared" si="19"/>
        <v>424</v>
      </c>
      <c r="V36" s="88">
        <f t="shared" si="19"/>
        <v>424</v>
      </c>
      <c r="W36" s="88">
        <f t="shared" si="19"/>
        <v>424</v>
      </c>
      <c r="X36" s="88">
        <f t="shared" si="19"/>
        <v>424</v>
      </c>
      <c r="Y36" s="88">
        <f t="shared" si="19"/>
        <v>424</v>
      </c>
      <c r="Z36" s="88"/>
      <c r="AA36" s="88">
        <f>MIN($AA$34:$AL$34)</f>
        <v>395.5</v>
      </c>
      <c r="AB36" s="88">
        <f t="shared" ref="AB36:AL36" si="20">MIN($AA$34:$AL$34)</f>
        <v>395.5</v>
      </c>
      <c r="AC36" s="88">
        <f t="shared" si="20"/>
        <v>395.5</v>
      </c>
      <c r="AD36" s="88">
        <f t="shared" si="20"/>
        <v>395.5</v>
      </c>
      <c r="AE36" s="88">
        <f t="shared" si="20"/>
        <v>395.5</v>
      </c>
      <c r="AF36" s="88">
        <f t="shared" si="20"/>
        <v>395.5</v>
      </c>
      <c r="AG36" s="88">
        <f t="shared" si="20"/>
        <v>395.5</v>
      </c>
      <c r="AH36" s="88">
        <f t="shared" si="20"/>
        <v>395.5</v>
      </c>
      <c r="AI36" s="88">
        <f t="shared" si="20"/>
        <v>395.5</v>
      </c>
      <c r="AJ36" s="88">
        <f t="shared" si="20"/>
        <v>395.5</v>
      </c>
      <c r="AK36" s="88">
        <f t="shared" si="20"/>
        <v>395.5</v>
      </c>
      <c r="AL36" s="88">
        <f t="shared" si="20"/>
        <v>395.5</v>
      </c>
    </row>
    <row r="37" spans="1:38" s="6" customFormat="1" x14ac:dyDescent="0.2">
      <c r="A37" s="18" t="s">
        <v>211</v>
      </c>
      <c r="B37" s="18"/>
      <c r="C37" s="89">
        <f>MAX($C$34:$N$34)</f>
        <v>438</v>
      </c>
      <c r="D37" s="89">
        <f t="shared" ref="D37:M37" si="21">MAX($C$34:$N$34)</f>
        <v>438</v>
      </c>
      <c r="E37" s="89">
        <f t="shared" si="21"/>
        <v>438</v>
      </c>
      <c r="F37" s="89">
        <f t="shared" si="21"/>
        <v>438</v>
      </c>
      <c r="G37" s="89">
        <f t="shared" si="21"/>
        <v>438</v>
      </c>
      <c r="H37" s="89">
        <f t="shared" si="21"/>
        <v>438</v>
      </c>
      <c r="I37" s="89">
        <f t="shared" si="21"/>
        <v>438</v>
      </c>
      <c r="J37" s="89">
        <f t="shared" si="21"/>
        <v>438</v>
      </c>
      <c r="K37" s="89">
        <f t="shared" si="21"/>
        <v>438</v>
      </c>
      <c r="L37" s="89">
        <f t="shared" si="21"/>
        <v>438</v>
      </c>
      <c r="M37" s="89">
        <f t="shared" si="21"/>
        <v>438</v>
      </c>
      <c r="N37" s="18"/>
      <c r="O37" s="89">
        <f>MAX($O$34:$Z$34)</f>
        <v>639</v>
      </c>
      <c r="P37" s="89">
        <f t="shared" ref="P37:Y37" si="22">MAX($O$34:$Z$34)</f>
        <v>639</v>
      </c>
      <c r="Q37" s="89">
        <f t="shared" si="22"/>
        <v>639</v>
      </c>
      <c r="R37" s="89">
        <f t="shared" si="22"/>
        <v>639</v>
      </c>
      <c r="S37" s="89">
        <f t="shared" si="22"/>
        <v>639</v>
      </c>
      <c r="T37" s="89">
        <f t="shared" si="22"/>
        <v>639</v>
      </c>
      <c r="U37" s="89">
        <f t="shared" si="22"/>
        <v>639</v>
      </c>
      <c r="V37" s="89">
        <f t="shared" si="22"/>
        <v>639</v>
      </c>
      <c r="W37" s="89">
        <f t="shared" si="22"/>
        <v>639</v>
      </c>
      <c r="X37" s="89">
        <f t="shared" si="22"/>
        <v>639</v>
      </c>
      <c r="Y37" s="89">
        <f t="shared" si="22"/>
        <v>639</v>
      </c>
      <c r="Z37" s="18"/>
      <c r="AA37" s="89">
        <f>MAX($AA$34:$AL$34)</f>
        <v>656</v>
      </c>
      <c r="AB37" s="89">
        <f t="shared" ref="AB37:AL37" si="23">MAX($AA$34:$AL$34)</f>
        <v>656</v>
      </c>
      <c r="AC37" s="89">
        <f t="shared" si="23"/>
        <v>656</v>
      </c>
      <c r="AD37" s="89">
        <f t="shared" si="23"/>
        <v>656</v>
      </c>
      <c r="AE37" s="89">
        <f t="shared" si="23"/>
        <v>656</v>
      </c>
      <c r="AF37" s="89">
        <f t="shared" si="23"/>
        <v>656</v>
      </c>
      <c r="AG37" s="89">
        <f t="shared" si="23"/>
        <v>656</v>
      </c>
      <c r="AH37" s="89">
        <f t="shared" si="23"/>
        <v>656</v>
      </c>
      <c r="AI37" s="89">
        <f t="shared" si="23"/>
        <v>656</v>
      </c>
      <c r="AJ37" s="89">
        <f t="shared" si="23"/>
        <v>656</v>
      </c>
      <c r="AK37" s="89">
        <f t="shared" si="23"/>
        <v>656</v>
      </c>
      <c r="AL37" s="89">
        <f t="shared" si="23"/>
        <v>656</v>
      </c>
    </row>
    <row r="38" spans="1:38" s="6" customFormat="1" hidden="1" outlineLevel="1" x14ac:dyDescent="0.2">
      <c r="A38" s="91" t="s">
        <v>214</v>
      </c>
      <c r="B38" s="17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17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17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</row>
    <row r="39" spans="1:38" s="6" customFormat="1" hidden="1" outlineLevel="1" x14ac:dyDescent="0.2">
      <c r="A39" s="17" t="s">
        <v>215</v>
      </c>
      <c r="B39" s="17"/>
      <c r="C39" s="90">
        <v>508</v>
      </c>
      <c r="D39" s="90">
        <v>576</v>
      </c>
      <c r="E39" s="90">
        <v>491</v>
      </c>
      <c r="F39" s="90">
        <v>461</v>
      </c>
      <c r="G39" s="90">
        <v>475</v>
      </c>
      <c r="H39" s="90">
        <v>645</v>
      </c>
      <c r="I39" s="90">
        <v>841</v>
      </c>
      <c r="J39" s="90">
        <v>522</v>
      </c>
      <c r="K39" s="90">
        <v>490</v>
      </c>
      <c r="L39" s="90">
        <v>564</v>
      </c>
      <c r="M39" s="90">
        <v>456</v>
      </c>
      <c r="N39" s="90">
        <v>792</v>
      </c>
      <c r="O39" s="90">
        <v>658</v>
      </c>
      <c r="P39" s="90">
        <v>660</v>
      </c>
      <c r="Q39" s="90">
        <v>560</v>
      </c>
      <c r="R39" s="90">
        <v>571</v>
      </c>
      <c r="S39" s="90">
        <v>656</v>
      </c>
      <c r="T39" s="90">
        <v>619</v>
      </c>
      <c r="U39" s="90">
        <v>961</v>
      </c>
      <c r="V39" s="90">
        <v>620</v>
      </c>
      <c r="W39" s="90">
        <v>653</v>
      </c>
      <c r="X39" s="90">
        <v>676</v>
      </c>
      <c r="Y39" s="90">
        <v>577</v>
      </c>
      <c r="Z39" s="90">
        <v>952</v>
      </c>
      <c r="AA39" s="90">
        <v>838</v>
      </c>
      <c r="AB39" s="90">
        <v>763</v>
      </c>
      <c r="AC39" s="90">
        <v>797</v>
      </c>
      <c r="AD39" s="90">
        <v>718</v>
      </c>
      <c r="AE39" s="90">
        <v>828</v>
      </c>
      <c r="AF39" s="90">
        <v>798</v>
      </c>
      <c r="AG39" s="90">
        <v>666</v>
      </c>
      <c r="AH39" s="90">
        <v>761</v>
      </c>
      <c r="AI39" s="90">
        <v>709</v>
      </c>
      <c r="AJ39" s="90">
        <v>713</v>
      </c>
      <c r="AK39" s="90">
        <v>757</v>
      </c>
      <c r="AL39" s="90">
        <v>755</v>
      </c>
    </row>
    <row r="40" spans="1:38" s="6" customFormat="1" hidden="1" outlineLevel="1" x14ac:dyDescent="0.2">
      <c r="A40" s="17" t="s">
        <v>46</v>
      </c>
      <c r="B40" s="17"/>
      <c r="C40" s="90">
        <v>-352</v>
      </c>
      <c r="D40" s="90">
        <v>-301</v>
      </c>
      <c r="E40" s="90">
        <v>-310</v>
      </c>
      <c r="F40" s="90">
        <v>-367</v>
      </c>
      <c r="G40" s="90">
        <v>-308</v>
      </c>
      <c r="H40" s="90">
        <v>-381</v>
      </c>
      <c r="I40" s="90">
        <v>-375</v>
      </c>
      <c r="J40" s="90">
        <v>-297</v>
      </c>
      <c r="K40" s="90">
        <v>-373</v>
      </c>
      <c r="L40" s="90">
        <v>-312</v>
      </c>
      <c r="M40" s="90">
        <v>-275</v>
      </c>
      <c r="N40" s="90">
        <v>-280</v>
      </c>
      <c r="O40" s="90">
        <v>-398</v>
      </c>
      <c r="P40" s="90">
        <v>-384</v>
      </c>
      <c r="Q40" s="90">
        <v>-451</v>
      </c>
      <c r="R40" s="90">
        <v>-409</v>
      </c>
      <c r="S40" s="90">
        <v>-423</v>
      </c>
      <c r="T40" s="90">
        <v>-479</v>
      </c>
      <c r="U40" s="90">
        <v>-432</v>
      </c>
      <c r="V40" s="90">
        <v>-410</v>
      </c>
      <c r="W40" s="90">
        <v>-382</v>
      </c>
      <c r="X40" s="90">
        <v>-439</v>
      </c>
      <c r="Y40" s="90">
        <v>-402</v>
      </c>
      <c r="Z40" s="90">
        <v>-325</v>
      </c>
      <c r="AA40" s="90">
        <v>-425</v>
      </c>
      <c r="AB40" s="90">
        <v>-397</v>
      </c>
      <c r="AC40" s="90">
        <v>-438</v>
      </c>
      <c r="AD40" s="90">
        <v>-391</v>
      </c>
      <c r="AE40" s="90">
        <v>-422</v>
      </c>
      <c r="AF40" s="90">
        <v>-452</v>
      </c>
      <c r="AG40" s="90">
        <v>-427</v>
      </c>
      <c r="AH40" s="90">
        <v>-431</v>
      </c>
      <c r="AI40" s="90">
        <v>-394</v>
      </c>
      <c r="AJ40" s="90">
        <v>-453</v>
      </c>
      <c r="AK40" s="90">
        <v>-437</v>
      </c>
      <c r="AL40" s="90">
        <v>-436</v>
      </c>
    </row>
    <row r="41" spans="1:38" s="6" customFormat="1" hidden="1" outlineLevel="1" x14ac:dyDescent="0.2">
      <c r="A41" s="17" t="s">
        <v>262</v>
      </c>
      <c r="B41" s="17"/>
      <c r="C41" s="90">
        <v>-412</v>
      </c>
      <c r="D41" s="90">
        <v>-450</v>
      </c>
      <c r="E41" s="90">
        <v>-437</v>
      </c>
      <c r="F41" s="90">
        <v>-384</v>
      </c>
      <c r="G41" s="90">
        <v>-430</v>
      </c>
      <c r="H41" s="90">
        <v>-423</v>
      </c>
      <c r="I41" s="90">
        <v>-435</v>
      </c>
      <c r="J41" s="90">
        <v>-365</v>
      </c>
      <c r="K41" s="90">
        <v>-394</v>
      </c>
      <c r="L41" s="90">
        <v>-448</v>
      </c>
      <c r="M41" s="90">
        <v>-383</v>
      </c>
      <c r="N41" s="90">
        <v>-305</v>
      </c>
      <c r="O41" s="90">
        <v>-547</v>
      </c>
      <c r="P41" s="90">
        <v>-500</v>
      </c>
      <c r="Q41" s="90">
        <v>-531</v>
      </c>
      <c r="R41" s="90">
        <v>-452</v>
      </c>
      <c r="S41" s="90">
        <v>-516</v>
      </c>
      <c r="T41" s="90">
        <v>-538</v>
      </c>
      <c r="U41" s="90">
        <v>-526</v>
      </c>
      <c r="V41" s="90">
        <v>-518</v>
      </c>
      <c r="W41" s="90">
        <v>-454</v>
      </c>
      <c r="X41" s="90">
        <v>-529</v>
      </c>
      <c r="Y41" s="90">
        <v>-504</v>
      </c>
      <c r="Z41" s="90">
        <v>-377</v>
      </c>
      <c r="AA41" s="90">
        <v>-518</v>
      </c>
      <c r="AB41" s="90">
        <v>-532</v>
      </c>
      <c r="AC41" s="90">
        <v>-500</v>
      </c>
      <c r="AD41" s="90">
        <v>-486</v>
      </c>
      <c r="AE41" s="90">
        <v>-496</v>
      </c>
      <c r="AF41" s="90">
        <v>-463</v>
      </c>
      <c r="AG41" s="90">
        <v>-527</v>
      </c>
      <c r="AH41" s="90">
        <v>-488</v>
      </c>
      <c r="AI41" s="90">
        <v>-454</v>
      </c>
      <c r="AJ41" s="90">
        <v>-522</v>
      </c>
      <c r="AK41" s="90">
        <v>-497</v>
      </c>
      <c r="AL41" s="90">
        <v>-471</v>
      </c>
    </row>
    <row r="42" spans="1:38" s="6" customFormat="1" hidden="1" outlineLevel="1" x14ac:dyDescent="0.2">
      <c r="A42" s="17" t="s">
        <v>216</v>
      </c>
      <c r="B42" s="17"/>
      <c r="C42" s="90">
        <v>31</v>
      </c>
      <c r="D42" s="90">
        <v>28</v>
      </c>
      <c r="E42" s="90">
        <v>31</v>
      </c>
      <c r="F42" s="90">
        <v>30</v>
      </c>
      <c r="G42" s="90">
        <v>31</v>
      </c>
      <c r="H42" s="90">
        <v>30</v>
      </c>
      <c r="I42" s="90">
        <v>31</v>
      </c>
      <c r="J42" s="90">
        <v>31</v>
      </c>
      <c r="K42" s="90">
        <v>30</v>
      </c>
      <c r="L42" s="90">
        <v>31</v>
      </c>
      <c r="M42" s="90">
        <v>30</v>
      </c>
      <c r="N42" s="17">
        <v>31</v>
      </c>
      <c r="O42" s="90">
        <v>31</v>
      </c>
      <c r="P42" s="90">
        <v>28</v>
      </c>
      <c r="Q42" s="90">
        <v>31</v>
      </c>
      <c r="R42" s="90">
        <v>30</v>
      </c>
      <c r="S42" s="90">
        <v>31</v>
      </c>
      <c r="T42" s="90">
        <v>30</v>
      </c>
      <c r="U42" s="90">
        <v>31</v>
      </c>
      <c r="V42" s="90">
        <v>31</v>
      </c>
      <c r="W42" s="90">
        <v>30</v>
      </c>
      <c r="X42" s="90">
        <v>31</v>
      </c>
      <c r="Y42" s="90">
        <v>30</v>
      </c>
      <c r="Z42" s="17">
        <v>31</v>
      </c>
      <c r="AA42" s="90">
        <v>31</v>
      </c>
      <c r="AB42" s="90">
        <v>28</v>
      </c>
      <c r="AC42" s="90">
        <v>31</v>
      </c>
      <c r="AD42" s="90">
        <v>30</v>
      </c>
      <c r="AE42" s="90">
        <v>31</v>
      </c>
      <c r="AF42" s="90">
        <v>30</v>
      </c>
      <c r="AG42" s="90">
        <v>31</v>
      </c>
      <c r="AH42" s="90">
        <v>31</v>
      </c>
      <c r="AI42" s="90">
        <v>30</v>
      </c>
      <c r="AJ42" s="90">
        <v>31</v>
      </c>
      <c r="AK42" s="90">
        <v>30</v>
      </c>
      <c r="AL42" s="17">
        <v>31</v>
      </c>
    </row>
    <row r="43" spans="1:38" s="6" customFormat="1" hidden="1" outlineLevel="1" x14ac:dyDescent="0.2">
      <c r="A43" s="17" t="s">
        <v>261</v>
      </c>
      <c r="B43" s="17"/>
      <c r="C43" s="97">
        <v>0.21</v>
      </c>
      <c r="D43" s="97">
        <v>0.21</v>
      </c>
      <c r="E43" s="97">
        <v>0.21</v>
      </c>
      <c r="F43" s="97">
        <v>0.21</v>
      </c>
      <c r="G43" s="97">
        <v>0.21</v>
      </c>
      <c r="H43" s="97">
        <v>0.21</v>
      </c>
      <c r="I43" s="97">
        <v>0.21</v>
      </c>
      <c r="J43" s="97">
        <v>0.21</v>
      </c>
      <c r="K43" s="97">
        <v>0.21</v>
      </c>
      <c r="L43" s="97">
        <v>0.21</v>
      </c>
      <c r="M43" s="97">
        <v>0.21</v>
      </c>
      <c r="N43" s="97">
        <v>0.21</v>
      </c>
      <c r="O43" s="97">
        <v>0.21</v>
      </c>
      <c r="P43" s="97">
        <v>0.21</v>
      </c>
      <c r="Q43" s="97">
        <v>0.21</v>
      </c>
      <c r="R43" s="97">
        <v>0.21</v>
      </c>
      <c r="S43" s="97">
        <v>0.21</v>
      </c>
      <c r="T43" s="97">
        <v>0.21</v>
      </c>
      <c r="U43" s="97">
        <v>0.21</v>
      </c>
      <c r="V43" s="97">
        <v>0.21</v>
      </c>
      <c r="W43" s="97">
        <v>0.21</v>
      </c>
      <c r="X43" s="97">
        <v>0.21</v>
      </c>
      <c r="Y43" s="97">
        <v>0.21</v>
      </c>
      <c r="Z43" s="97">
        <v>0.21</v>
      </c>
      <c r="AA43" s="97">
        <v>0.21</v>
      </c>
      <c r="AB43" s="97">
        <v>0.21</v>
      </c>
      <c r="AC43" s="97">
        <v>0.21</v>
      </c>
      <c r="AD43" s="97">
        <v>0.21</v>
      </c>
      <c r="AE43" s="97">
        <v>0.21</v>
      </c>
      <c r="AF43" s="97">
        <v>0.21</v>
      </c>
      <c r="AG43" s="97">
        <v>0.21</v>
      </c>
      <c r="AH43" s="97">
        <v>0.21</v>
      </c>
      <c r="AI43" s="97">
        <v>0.21</v>
      </c>
      <c r="AJ43" s="97">
        <v>0.21</v>
      </c>
      <c r="AK43" s="97">
        <v>0.21</v>
      </c>
      <c r="AL43" s="97">
        <v>0.21</v>
      </c>
    </row>
    <row r="44" spans="1:38" s="6" customFormat="1" collapsed="1" x14ac:dyDescent="0.2">
      <c r="A44" s="51" t="s">
        <v>221</v>
      </c>
      <c r="B44" s="17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</row>
    <row r="45" spans="1:38" s="6" customFormat="1" x14ac:dyDescent="0.2">
      <c r="A45" s="17" t="s">
        <v>217</v>
      </c>
      <c r="B45" s="17"/>
      <c r="C45" s="90">
        <f>C26/-C40*C42</f>
        <v>42.713068181818187</v>
      </c>
      <c r="D45" s="90">
        <f t="shared" ref="D45:AL45" si="24">D26/-D40*D42</f>
        <v>39.441860465116278</v>
      </c>
      <c r="E45" s="90">
        <f t="shared" si="24"/>
        <v>45.699999999999996</v>
      </c>
      <c r="F45" s="90">
        <f t="shared" si="24"/>
        <v>38.910081743869213</v>
      </c>
      <c r="G45" s="90">
        <f t="shared" si="24"/>
        <v>49.016233766233768</v>
      </c>
      <c r="H45" s="90">
        <f t="shared" si="24"/>
        <v>35.826771653543311</v>
      </c>
      <c r="I45" s="90">
        <f t="shared" si="24"/>
        <v>40.341333333333331</v>
      </c>
      <c r="J45" s="90">
        <f t="shared" si="24"/>
        <v>46.030303030303031</v>
      </c>
      <c r="K45" s="90">
        <f t="shared" si="24"/>
        <v>32.573726541554961</v>
      </c>
      <c r="L45" s="90">
        <f t="shared" si="24"/>
        <v>39.743589743589745</v>
      </c>
      <c r="M45" s="90">
        <f t="shared" si="24"/>
        <v>42.981818181818177</v>
      </c>
      <c r="N45" s="90">
        <f t="shared" si="24"/>
        <v>56.685714285714283</v>
      </c>
      <c r="O45" s="90">
        <f t="shared" si="24"/>
        <v>43.384422110552762</v>
      </c>
      <c r="P45" s="90">
        <f t="shared" si="24"/>
        <v>42.802083333333329</v>
      </c>
      <c r="Q45" s="90">
        <f t="shared" si="24"/>
        <v>41.310421286031037</v>
      </c>
      <c r="R45" s="90">
        <f t="shared" si="24"/>
        <v>41.735941320293399</v>
      </c>
      <c r="S45" s="90">
        <f t="shared" si="24"/>
        <v>42.652482269503544</v>
      </c>
      <c r="T45" s="90">
        <f t="shared" si="24"/>
        <v>35.448851774530276</v>
      </c>
      <c r="U45" s="90">
        <f t="shared" si="24"/>
        <v>44.275462962962962</v>
      </c>
      <c r="V45" s="90">
        <f t="shared" si="24"/>
        <v>45.21463414634146</v>
      </c>
      <c r="W45" s="90">
        <f t="shared" si="24"/>
        <v>45.157068062827221</v>
      </c>
      <c r="X45" s="90">
        <f t="shared" si="24"/>
        <v>40.391799544419136</v>
      </c>
      <c r="Y45" s="90">
        <f t="shared" si="24"/>
        <v>43.955223880597018</v>
      </c>
      <c r="Z45" s="90">
        <f t="shared" si="24"/>
        <v>58.947692307692307</v>
      </c>
      <c r="AA45" s="90">
        <f t="shared" si="24"/>
        <v>46.463529411764704</v>
      </c>
      <c r="AB45" s="90">
        <f t="shared" si="24"/>
        <v>47.183879093198989</v>
      </c>
      <c r="AC45" s="90">
        <f t="shared" si="24"/>
        <v>49.543378995433791</v>
      </c>
      <c r="AD45" s="90">
        <f t="shared" si="24"/>
        <v>52.557544757033249</v>
      </c>
      <c r="AE45" s="90">
        <f t="shared" si="24"/>
        <v>46.867298578199048</v>
      </c>
      <c r="AF45" s="90">
        <f t="shared" si="24"/>
        <v>45.995575221238937</v>
      </c>
      <c r="AG45" s="90">
        <f t="shared" si="24"/>
        <v>48.569086651053865</v>
      </c>
      <c r="AH45" s="90">
        <f t="shared" si="24"/>
        <v>47.902552204176331</v>
      </c>
      <c r="AI45" s="90">
        <f t="shared" si="24"/>
        <v>52.157360406091371</v>
      </c>
      <c r="AJ45" s="90">
        <f t="shared" si="24"/>
        <v>42.291390728476827</v>
      </c>
      <c r="AK45" s="90">
        <f t="shared" si="24"/>
        <v>42.837528604118994</v>
      </c>
      <c r="AL45" s="90">
        <f t="shared" si="24"/>
        <v>50.623853211009177</v>
      </c>
    </row>
    <row r="46" spans="1:38" s="6" customFormat="1" x14ac:dyDescent="0.2">
      <c r="A46" s="17" t="s">
        <v>218</v>
      </c>
      <c r="B46" s="17"/>
      <c r="C46" s="90">
        <f>C27/(1+C43)/C39*C42</f>
        <v>16.794104249365525</v>
      </c>
      <c r="D46" s="90">
        <f t="shared" ref="D46:AL46" si="25">D27/(1+D43)/D39*D42</f>
        <v>13.940541781450872</v>
      </c>
      <c r="E46" s="90">
        <f t="shared" si="25"/>
        <v>16.227634613118784</v>
      </c>
      <c r="F46" s="90">
        <f t="shared" si="25"/>
        <v>16.295871354045286</v>
      </c>
      <c r="G46" s="90">
        <f t="shared" si="25"/>
        <v>15.587646802957808</v>
      </c>
      <c r="H46" s="90">
        <f t="shared" si="25"/>
        <v>12.877186238708438</v>
      </c>
      <c r="I46" s="90">
        <f t="shared" si="25"/>
        <v>9.3827694303318552</v>
      </c>
      <c r="J46" s="90">
        <f t="shared" si="25"/>
        <v>13.987840790348626</v>
      </c>
      <c r="K46" s="90">
        <f t="shared" si="25"/>
        <v>16.242199359082477</v>
      </c>
      <c r="L46" s="90">
        <f t="shared" si="25"/>
        <v>13.037043549616085</v>
      </c>
      <c r="M46" s="90">
        <f t="shared" si="25"/>
        <v>15.550239234449762</v>
      </c>
      <c r="N46" s="90">
        <f t="shared" si="25"/>
        <v>11.354244928625093</v>
      </c>
      <c r="O46" s="90">
        <f t="shared" si="25"/>
        <v>13.822251249717402</v>
      </c>
      <c r="P46" s="90">
        <f t="shared" si="25"/>
        <v>15.146506386175808</v>
      </c>
      <c r="Q46" s="90">
        <f t="shared" si="25"/>
        <v>20.953364817001184</v>
      </c>
      <c r="R46" s="90">
        <f t="shared" si="25"/>
        <v>16.847346253491772</v>
      </c>
      <c r="S46" s="90">
        <f t="shared" si="25"/>
        <v>17.301199354968755</v>
      </c>
      <c r="T46" s="90">
        <f t="shared" si="25"/>
        <v>16.101683600582117</v>
      </c>
      <c r="U46" s="90">
        <f t="shared" si="25"/>
        <v>11.756864836043723</v>
      </c>
      <c r="V46" s="90">
        <f t="shared" si="25"/>
        <v>16.074380165289256</v>
      </c>
      <c r="W46" s="90">
        <f t="shared" si="25"/>
        <v>16.022679812182808</v>
      </c>
      <c r="X46" s="90">
        <f t="shared" si="25"/>
        <v>16.410337913834418</v>
      </c>
      <c r="Y46" s="90">
        <f t="shared" si="25"/>
        <v>19.508142715957433</v>
      </c>
      <c r="Z46" s="90">
        <f t="shared" si="25"/>
        <v>12.406243489131191</v>
      </c>
      <c r="AA46" s="90">
        <f t="shared" si="25"/>
        <v>13.849385589459358</v>
      </c>
      <c r="AB46" s="90">
        <f t="shared" si="25"/>
        <v>10.341951626355296</v>
      </c>
      <c r="AC46" s="90">
        <f t="shared" si="25"/>
        <v>7.7148812177898529</v>
      </c>
      <c r="AD46" s="90">
        <f t="shared" si="25"/>
        <v>13.08731784801676</v>
      </c>
      <c r="AE46" s="90">
        <f t="shared" si="25"/>
        <v>11.819778815826247</v>
      </c>
      <c r="AF46" s="90">
        <f t="shared" si="25"/>
        <v>9.755794444789661</v>
      </c>
      <c r="AG46" s="90">
        <f t="shared" si="25"/>
        <v>10.809569900478992</v>
      </c>
      <c r="AH46" s="90">
        <f t="shared" si="25"/>
        <v>8.9888250562005201</v>
      </c>
      <c r="AI46" s="90">
        <f t="shared" si="25"/>
        <v>10.420916434507919</v>
      </c>
      <c r="AJ46" s="90">
        <f t="shared" si="25"/>
        <v>16.564858066834351</v>
      </c>
      <c r="AK46" s="90">
        <f t="shared" si="25"/>
        <v>9.989410133519657</v>
      </c>
      <c r="AL46" s="90">
        <f t="shared" si="25"/>
        <v>7.3975151880028465</v>
      </c>
    </row>
    <row r="47" spans="1:38" s="6" customFormat="1" x14ac:dyDescent="0.2">
      <c r="A47" s="17" t="s">
        <v>219</v>
      </c>
      <c r="B47" s="17"/>
      <c r="C47" s="90">
        <f>-C28/(1+C43)/-C41*C42</f>
        <v>12.934285485035707</v>
      </c>
      <c r="D47" s="90">
        <f t="shared" ref="D47:AL47" si="26">-D28/(1+D43)/-D41*D42</f>
        <v>10.233241505968778</v>
      </c>
      <c r="E47" s="90">
        <f t="shared" si="26"/>
        <v>11.37356506609679</v>
      </c>
      <c r="F47" s="90">
        <f t="shared" si="26"/>
        <v>14.591942148760332</v>
      </c>
      <c r="G47" s="90">
        <f t="shared" si="26"/>
        <v>11.558716125312319</v>
      </c>
      <c r="H47" s="90">
        <f t="shared" si="26"/>
        <v>13.715491471777739</v>
      </c>
      <c r="I47" s="90">
        <f t="shared" si="26"/>
        <v>13.251638643488175</v>
      </c>
      <c r="J47" s="90">
        <f t="shared" si="26"/>
        <v>15.933431450243408</v>
      </c>
      <c r="K47" s="90">
        <f t="shared" si="26"/>
        <v>12.207912069471829</v>
      </c>
      <c r="L47" s="90">
        <f t="shared" si="26"/>
        <v>10.350870720188903</v>
      </c>
      <c r="M47" s="90">
        <f t="shared" si="26"/>
        <v>11.911183997583239</v>
      </c>
      <c r="N47" s="90">
        <f t="shared" si="26"/>
        <v>20.243869394391005</v>
      </c>
      <c r="O47" s="90">
        <f t="shared" si="26"/>
        <v>13.16119479656126</v>
      </c>
      <c r="P47" s="90">
        <f t="shared" si="26"/>
        <v>11.894214876033059</v>
      </c>
      <c r="Q47" s="90">
        <f t="shared" si="26"/>
        <v>14.18499322967736</v>
      </c>
      <c r="R47" s="90">
        <f t="shared" si="26"/>
        <v>14.810209902728005</v>
      </c>
      <c r="S47" s="90">
        <f t="shared" si="26"/>
        <v>14.051188416938947</v>
      </c>
      <c r="T47" s="90">
        <f t="shared" si="26"/>
        <v>11.981934928876464</v>
      </c>
      <c r="U47" s="90">
        <f t="shared" si="26"/>
        <v>14.56336611884486</v>
      </c>
      <c r="V47" s="90">
        <f t="shared" si="26"/>
        <v>14.887201250837613</v>
      </c>
      <c r="W47" s="90">
        <f t="shared" si="26"/>
        <v>16.164852368296504</v>
      </c>
      <c r="X47" s="90">
        <f t="shared" si="26"/>
        <v>11.768657532534487</v>
      </c>
      <c r="Y47" s="90">
        <f t="shared" si="26"/>
        <v>12.249114521841797</v>
      </c>
      <c r="Z47" s="90">
        <f t="shared" si="26"/>
        <v>21.678321678321677</v>
      </c>
      <c r="AA47" s="90">
        <f t="shared" si="26"/>
        <v>20.476084112447751</v>
      </c>
      <c r="AB47" s="90">
        <f t="shared" si="26"/>
        <v>18.790778599391039</v>
      </c>
      <c r="AC47" s="90">
        <f t="shared" si="26"/>
        <v>21.725619834710741</v>
      </c>
      <c r="AD47" s="90">
        <f t="shared" si="26"/>
        <v>18.365472910927458</v>
      </c>
      <c r="AE47" s="90">
        <f t="shared" si="26"/>
        <v>21.694214876033058</v>
      </c>
      <c r="AF47" s="90">
        <f t="shared" si="26"/>
        <v>20.348785320314871</v>
      </c>
      <c r="AG47" s="90">
        <f t="shared" si="26"/>
        <v>19.445794846864366</v>
      </c>
      <c r="AH47" s="90">
        <f t="shared" si="26"/>
        <v>23.047351307410921</v>
      </c>
      <c r="AI47" s="90">
        <f t="shared" si="26"/>
        <v>22.390504969599885</v>
      </c>
      <c r="AJ47" s="90">
        <f t="shared" si="26"/>
        <v>17.079889807162534</v>
      </c>
      <c r="AK47" s="90">
        <f t="shared" si="26"/>
        <v>18.507740658829007</v>
      </c>
      <c r="AL47" s="90">
        <f t="shared" si="26"/>
        <v>23.987998104963943</v>
      </c>
    </row>
    <row r="48" spans="1:38" s="6" customFormat="1" x14ac:dyDescent="0.2">
      <c r="A48" s="94" t="s">
        <v>220</v>
      </c>
      <c r="B48" s="18"/>
      <c r="C48" s="98">
        <f>C45+C46-C47</f>
        <v>46.572886946148003</v>
      </c>
      <c r="D48" s="98">
        <f t="shared" ref="D48:AL48" si="27">D45+D46-D47</f>
        <v>43.149160740598376</v>
      </c>
      <c r="E48" s="98">
        <f t="shared" si="27"/>
        <v>50.554069547021996</v>
      </c>
      <c r="F48" s="98">
        <f t="shared" si="27"/>
        <v>40.614010949154171</v>
      </c>
      <c r="G48" s="98">
        <f t="shared" si="27"/>
        <v>53.045164443879258</v>
      </c>
      <c r="H48" s="98">
        <f t="shared" si="27"/>
        <v>34.988466420474012</v>
      </c>
      <c r="I48" s="98">
        <f t="shared" si="27"/>
        <v>36.472464120177008</v>
      </c>
      <c r="J48" s="98">
        <f t="shared" si="27"/>
        <v>44.084712370408255</v>
      </c>
      <c r="K48" s="98">
        <f t="shared" si="27"/>
        <v>36.608013831165607</v>
      </c>
      <c r="L48" s="98">
        <f t="shared" si="27"/>
        <v>42.42976257301693</v>
      </c>
      <c r="M48" s="98">
        <f t="shared" si="27"/>
        <v>46.620873418684702</v>
      </c>
      <c r="N48" s="98">
        <f t="shared" si="27"/>
        <v>47.796089819948371</v>
      </c>
      <c r="O48" s="98">
        <f t="shared" si="27"/>
        <v>44.045478563708905</v>
      </c>
      <c r="P48" s="98">
        <f t="shared" si="27"/>
        <v>46.054374843476076</v>
      </c>
      <c r="Q48" s="98">
        <f t="shared" si="27"/>
        <v>48.078792873354857</v>
      </c>
      <c r="R48" s="98">
        <f t="shared" si="27"/>
        <v>43.773077671057166</v>
      </c>
      <c r="S48" s="98">
        <f t="shared" si="27"/>
        <v>45.902493207533347</v>
      </c>
      <c r="T48" s="98">
        <f t="shared" si="27"/>
        <v>39.568600446235926</v>
      </c>
      <c r="U48" s="98">
        <f t="shared" si="27"/>
        <v>41.468961680161826</v>
      </c>
      <c r="V48" s="98">
        <f t="shared" si="27"/>
        <v>46.401813060793103</v>
      </c>
      <c r="W48" s="98">
        <f t="shared" si="27"/>
        <v>45.014895506713529</v>
      </c>
      <c r="X48" s="98">
        <f t="shared" si="27"/>
        <v>45.033479925719064</v>
      </c>
      <c r="Y48" s="98">
        <f t="shared" si="27"/>
        <v>51.214252074712654</v>
      </c>
      <c r="Z48" s="98">
        <f t="shared" si="27"/>
        <v>49.675614118501812</v>
      </c>
      <c r="AA48" s="98">
        <f t="shared" si="27"/>
        <v>39.836830888776312</v>
      </c>
      <c r="AB48" s="98">
        <f t="shared" si="27"/>
        <v>38.735052120163246</v>
      </c>
      <c r="AC48" s="98">
        <f t="shared" si="27"/>
        <v>35.532640378512902</v>
      </c>
      <c r="AD48" s="98">
        <f t="shared" si="27"/>
        <v>47.27938969412255</v>
      </c>
      <c r="AE48" s="98">
        <f t="shared" si="27"/>
        <v>36.992862517992236</v>
      </c>
      <c r="AF48" s="98">
        <f t="shared" si="27"/>
        <v>35.40258434571372</v>
      </c>
      <c r="AG48" s="98">
        <f t="shared" si="27"/>
        <v>39.93286170466849</v>
      </c>
      <c r="AH48" s="98">
        <f t="shared" si="27"/>
        <v>33.844025952965929</v>
      </c>
      <c r="AI48" s="98">
        <f t="shared" si="27"/>
        <v>40.187771870999399</v>
      </c>
      <c r="AJ48" s="98">
        <f t="shared" si="27"/>
        <v>41.776358988148644</v>
      </c>
      <c r="AK48" s="98">
        <f t="shared" si="27"/>
        <v>34.319198078809642</v>
      </c>
      <c r="AL48" s="98">
        <f t="shared" si="27"/>
        <v>34.033370294048083</v>
      </c>
    </row>
    <row r="49" spans="1:38" s="6" customFormat="1" x14ac:dyDescent="0.2">
      <c r="A49" s="16" t="str">
        <f>A2&amp;" - "&amp;A1</f>
        <v>Cash flow section - Monthly net working capital overview</v>
      </c>
      <c r="B49" s="17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101"/>
    </row>
    <row r="50" spans="1:38" s="6" customFormat="1" x14ac:dyDescent="0.2">
      <c r="A50" s="16" t="s">
        <v>44</v>
      </c>
      <c r="B50" s="17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101"/>
      <c r="AL50" s="101"/>
    </row>
    <row r="51" spans="1:38" x14ac:dyDescent="0.2">
      <c r="M51" s="44"/>
      <c r="N51" s="44"/>
      <c r="O51" s="44"/>
    </row>
    <row r="52" spans="1:38" x14ac:dyDescent="0.2">
      <c r="A52" s="85" t="s">
        <v>213</v>
      </c>
      <c r="L52" s="44"/>
      <c r="M52" s="44"/>
      <c r="N52" s="44"/>
      <c r="O52" s="44"/>
    </row>
    <row r="53" spans="1:38" x14ac:dyDescent="0.2">
      <c r="L53" s="44"/>
      <c r="M53" s="44"/>
      <c r="N53" s="44"/>
      <c r="AG53" s="44"/>
    </row>
    <row r="54" spans="1:38" x14ac:dyDescent="0.2">
      <c r="L54" s="19"/>
      <c r="M54" s="19"/>
      <c r="N54" s="19"/>
      <c r="O54" s="44"/>
      <c r="AG54" s="44"/>
    </row>
    <row r="55" spans="1:38" x14ac:dyDescent="0.2">
      <c r="L55" s="96"/>
      <c r="M55" s="96"/>
      <c r="N55" s="96"/>
    </row>
    <row r="56" spans="1:38" x14ac:dyDescent="0.2">
      <c r="M56" s="96"/>
      <c r="N56" s="96"/>
      <c r="O56" s="96"/>
    </row>
    <row r="68" spans="1:1" x14ac:dyDescent="0.2">
      <c r="A68" s="1" t="s">
        <v>212</v>
      </c>
    </row>
  </sheetData>
  <hyperlinks>
    <hyperlink ref="A3" location="Contents!A1" display="Back to: Table of contents" xr:uid="{31763239-F221-504E-84EC-32443EA7D315}"/>
  </hyperlinks>
  <pageMargins left="0.70866141732283472" right="0.70866141732283472" top="1.3385826771653544" bottom="0.74803149606299213" header="0.31496062992125984" footer="0.31496062992125984"/>
  <pageSetup paperSize="9" scale="92" fitToHeight="3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rowBreaks count="2" manualBreakCount="2">
    <brk id="23" max="38" man="1"/>
    <brk id="51" max="38" man="1"/>
  </rowBreaks>
  <drawing r:id="rId1"/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59599-303E-344E-8AC0-A9EC58805755}">
  <sheetPr>
    <tabColor rgb="FF7030A0"/>
  </sheetPr>
  <dimension ref="A1:G75"/>
  <sheetViews>
    <sheetView showGridLines="0" zoomScaleNormal="100" workbookViewId="0">
      <selection activeCell="B14" sqref="B14"/>
    </sheetView>
  </sheetViews>
  <sheetFormatPr baseColWidth="10" defaultRowHeight="16" x14ac:dyDescent="0.2"/>
  <cols>
    <col min="1" max="1" width="14.5" customWidth="1"/>
    <col min="2" max="2" width="5.1640625" customWidth="1"/>
    <col min="6" max="6" width="2.33203125" customWidth="1"/>
  </cols>
  <sheetData>
    <row r="1" spans="1:7" ht="21" x14ac:dyDescent="0.25">
      <c r="A1" s="2" t="s">
        <v>184</v>
      </c>
    </row>
    <row r="2" spans="1:7" ht="19" x14ac:dyDescent="0.25">
      <c r="A2" s="7" t="str">
        <f>CF!A1</f>
        <v>Cash flow section</v>
      </c>
    </row>
    <row r="3" spans="1:7" x14ac:dyDescent="0.2">
      <c r="A3" s="47" t="s">
        <v>101</v>
      </c>
    </row>
    <row r="4" spans="1:7" x14ac:dyDescent="0.2">
      <c r="A4" s="47"/>
    </row>
    <row r="5" spans="1:7" x14ac:dyDescent="0.2">
      <c r="A5" s="10" t="s">
        <v>257</v>
      </c>
      <c r="B5" s="13"/>
      <c r="C5" s="13"/>
      <c r="D5" s="13"/>
      <c r="E5" s="13"/>
      <c r="G5" s="1" t="s">
        <v>264</v>
      </c>
    </row>
    <row r="6" spans="1:7" x14ac:dyDescent="0.2">
      <c r="A6" s="28" t="s">
        <v>243</v>
      </c>
      <c r="B6" s="50" t="s">
        <v>40</v>
      </c>
      <c r="C6" s="33" t="s">
        <v>41</v>
      </c>
      <c r="D6" s="33" t="s">
        <v>42</v>
      </c>
      <c r="E6" s="33" t="s">
        <v>43</v>
      </c>
    </row>
    <row r="7" spans="1:7" x14ac:dyDescent="0.2">
      <c r="A7" t="s">
        <v>244</v>
      </c>
      <c r="C7" s="100">
        <v>16.794104249365525</v>
      </c>
      <c r="D7" s="100">
        <v>13.822251249717402</v>
      </c>
      <c r="E7" s="100">
        <v>13.849385589459358</v>
      </c>
    </row>
    <row r="8" spans="1:7" x14ac:dyDescent="0.2">
      <c r="A8" t="s">
        <v>245</v>
      </c>
      <c r="C8" s="100">
        <v>13.940541781450872</v>
      </c>
      <c r="D8" s="100">
        <v>15.146506386175808</v>
      </c>
      <c r="E8" s="100">
        <v>10.341951626355296</v>
      </c>
    </row>
    <row r="9" spans="1:7" x14ac:dyDescent="0.2">
      <c r="A9" t="s">
        <v>246</v>
      </c>
      <c r="C9" s="100">
        <v>16.227634613118784</v>
      </c>
      <c r="D9" s="100">
        <v>20.953364817001184</v>
      </c>
      <c r="E9" s="100">
        <v>7.7148812177898529</v>
      </c>
    </row>
    <row r="10" spans="1:7" x14ac:dyDescent="0.2">
      <c r="A10" t="s">
        <v>247</v>
      </c>
      <c r="C10" s="100">
        <v>16.295871354045286</v>
      </c>
      <c r="D10" s="100">
        <v>16.847346253491772</v>
      </c>
      <c r="E10" s="100">
        <v>13.08731784801676</v>
      </c>
    </row>
    <row r="11" spans="1:7" x14ac:dyDescent="0.2">
      <c r="A11" t="s">
        <v>248</v>
      </c>
      <c r="C11" s="100">
        <v>15.587646802957808</v>
      </c>
      <c r="D11" s="100">
        <v>17.301199354968755</v>
      </c>
      <c r="E11" s="100">
        <v>11.819778815826247</v>
      </c>
    </row>
    <row r="12" spans="1:7" x14ac:dyDescent="0.2">
      <c r="A12" t="s">
        <v>249</v>
      </c>
      <c r="C12" s="100">
        <v>12.877186238708438</v>
      </c>
      <c r="D12" s="100">
        <v>16.101683600582117</v>
      </c>
      <c r="E12" s="100">
        <v>9.755794444789661</v>
      </c>
    </row>
    <row r="13" spans="1:7" x14ac:dyDescent="0.2">
      <c r="A13" t="s">
        <v>250</v>
      </c>
      <c r="C13" s="100">
        <v>9.3827694303318552</v>
      </c>
      <c r="D13" s="100">
        <v>11.756864836043723</v>
      </c>
      <c r="E13" s="100">
        <v>10.809569900478992</v>
      </c>
    </row>
    <row r="14" spans="1:7" x14ac:dyDescent="0.2">
      <c r="A14" t="s">
        <v>251</v>
      </c>
      <c r="C14" s="100">
        <v>13.987840790348626</v>
      </c>
      <c r="D14" s="100">
        <v>16.074380165289256</v>
      </c>
      <c r="E14" s="100">
        <v>8.9888250562005201</v>
      </c>
    </row>
    <row r="15" spans="1:7" x14ac:dyDescent="0.2">
      <c r="A15" t="s">
        <v>252</v>
      </c>
      <c r="C15" s="100">
        <v>16.242199359082477</v>
      </c>
      <c r="D15" s="100">
        <v>16.022679812182808</v>
      </c>
      <c r="E15" s="100">
        <v>10.420916434507919</v>
      </c>
    </row>
    <row r="16" spans="1:7" x14ac:dyDescent="0.2">
      <c r="A16" t="s">
        <v>253</v>
      </c>
      <c r="C16" s="100">
        <v>13.037043549616085</v>
      </c>
      <c r="D16" s="100">
        <v>16.410337913834418</v>
      </c>
      <c r="E16" s="100">
        <v>16.564858066834351</v>
      </c>
    </row>
    <row r="17" spans="1:7" x14ac:dyDescent="0.2">
      <c r="A17" t="s">
        <v>254</v>
      </c>
      <c r="C17" s="100">
        <v>15.550239234449762</v>
      </c>
      <c r="D17" s="100">
        <v>19.508142715957433</v>
      </c>
      <c r="E17" s="100">
        <v>9.989410133519657</v>
      </c>
    </row>
    <row r="18" spans="1:7" x14ac:dyDescent="0.2">
      <c r="A18" t="s">
        <v>255</v>
      </c>
      <c r="C18" s="100">
        <v>11.354244928625093</v>
      </c>
      <c r="D18" s="100">
        <v>12.406243489131191</v>
      </c>
      <c r="E18" s="100">
        <v>7.3975151880028465</v>
      </c>
    </row>
    <row r="19" spans="1:7" x14ac:dyDescent="0.2">
      <c r="A19" s="39" t="s">
        <v>256</v>
      </c>
      <c r="B19" s="39"/>
      <c r="C19" s="99">
        <f>AVERAGE(C7:C18)</f>
        <v>14.273110194341719</v>
      </c>
      <c r="D19" s="99">
        <f>AVERAGE(D7:D18)</f>
        <v>16.029250049531321</v>
      </c>
      <c r="E19" s="99">
        <f>AVERAGE(E7:E18)</f>
        <v>10.89501702681512</v>
      </c>
    </row>
    <row r="20" spans="1:7" x14ac:dyDescent="0.2">
      <c r="A20" s="16" t="str">
        <f>A2&amp;" - "&amp;A1</f>
        <v>Cash flow section - Monthly DSO, DIO and DPO overview</v>
      </c>
    </row>
    <row r="21" spans="1:7" x14ac:dyDescent="0.2">
      <c r="A21" s="16" t="s">
        <v>44</v>
      </c>
    </row>
    <row r="23" spans="1:7" x14ac:dyDescent="0.2">
      <c r="A23" s="10" t="s">
        <v>258</v>
      </c>
      <c r="B23" s="13"/>
      <c r="C23" s="13"/>
      <c r="D23" s="13"/>
      <c r="E23" s="13"/>
      <c r="G23" s="1" t="s">
        <v>266</v>
      </c>
    </row>
    <row r="24" spans="1:7" x14ac:dyDescent="0.2">
      <c r="A24" s="28" t="s">
        <v>243</v>
      </c>
      <c r="B24" s="50" t="s">
        <v>40</v>
      </c>
      <c r="C24" s="33" t="s">
        <v>41</v>
      </c>
      <c r="D24" s="33" t="s">
        <v>42</v>
      </c>
      <c r="E24" s="33" t="s">
        <v>43</v>
      </c>
    </row>
    <row r="25" spans="1:7" x14ac:dyDescent="0.2">
      <c r="A25" t="s">
        <v>244</v>
      </c>
      <c r="C25" s="100">
        <v>42.713068181818187</v>
      </c>
      <c r="D25" s="100">
        <v>43.384422110552762</v>
      </c>
      <c r="E25" s="100">
        <v>46.463529411764704</v>
      </c>
      <c r="G25" s="1"/>
    </row>
    <row r="26" spans="1:7" x14ac:dyDescent="0.2">
      <c r="A26" t="s">
        <v>245</v>
      </c>
      <c r="C26" s="100">
        <v>39.441860465116278</v>
      </c>
      <c r="D26" s="100">
        <v>42.802083333333329</v>
      </c>
      <c r="E26" s="100">
        <v>47.183879093198989</v>
      </c>
    </row>
    <row r="27" spans="1:7" x14ac:dyDescent="0.2">
      <c r="A27" t="s">
        <v>246</v>
      </c>
      <c r="C27" s="100">
        <v>45.699999999999996</v>
      </c>
      <c r="D27" s="100">
        <v>41.310421286031037</v>
      </c>
      <c r="E27" s="100">
        <v>49.543378995433791</v>
      </c>
    </row>
    <row r="28" spans="1:7" x14ac:dyDescent="0.2">
      <c r="A28" t="s">
        <v>247</v>
      </c>
      <c r="C28" s="100">
        <v>38.910081743869213</v>
      </c>
      <c r="D28" s="100">
        <v>41.735941320293399</v>
      </c>
      <c r="E28" s="100">
        <v>52.557544757033249</v>
      </c>
    </row>
    <row r="29" spans="1:7" x14ac:dyDescent="0.2">
      <c r="A29" t="s">
        <v>248</v>
      </c>
      <c r="C29" s="100">
        <v>49.016233766233768</v>
      </c>
      <c r="D29" s="100">
        <v>42.652482269503544</v>
      </c>
      <c r="E29" s="100">
        <v>46.867298578199048</v>
      </c>
    </row>
    <row r="30" spans="1:7" x14ac:dyDescent="0.2">
      <c r="A30" t="s">
        <v>249</v>
      </c>
      <c r="C30" s="100">
        <v>35.826771653543311</v>
      </c>
      <c r="D30" s="100">
        <v>35.448851774530276</v>
      </c>
      <c r="E30" s="100">
        <v>45.995575221238937</v>
      </c>
    </row>
    <row r="31" spans="1:7" x14ac:dyDescent="0.2">
      <c r="A31" t="s">
        <v>250</v>
      </c>
      <c r="C31" s="100">
        <v>40.341333333333331</v>
      </c>
      <c r="D31" s="100">
        <v>44.275462962962962</v>
      </c>
      <c r="E31" s="100">
        <v>48.569086651053865</v>
      </c>
    </row>
    <row r="32" spans="1:7" x14ac:dyDescent="0.2">
      <c r="A32" t="s">
        <v>251</v>
      </c>
      <c r="C32" s="100">
        <v>46.030303030303031</v>
      </c>
      <c r="D32" s="100">
        <v>45.21463414634146</v>
      </c>
      <c r="E32" s="100">
        <v>47.902552204176331</v>
      </c>
    </row>
    <row r="33" spans="1:7" x14ac:dyDescent="0.2">
      <c r="A33" t="s">
        <v>252</v>
      </c>
      <c r="C33" s="100">
        <v>32.573726541554961</v>
      </c>
      <c r="D33" s="100">
        <v>45.157068062827221</v>
      </c>
      <c r="E33" s="100">
        <v>52.157360406091371</v>
      </c>
    </row>
    <row r="34" spans="1:7" x14ac:dyDescent="0.2">
      <c r="A34" t="s">
        <v>253</v>
      </c>
      <c r="C34" s="100">
        <v>39.743589743589745</v>
      </c>
      <c r="D34" s="100">
        <v>40.391799544419136</v>
      </c>
      <c r="E34" s="100">
        <v>42.291390728476827</v>
      </c>
    </row>
    <row r="35" spans="1:7" x14ac:dyDescent="0.2">
      <c r="A35" t="s">
        <v>254</v>
      </c>
      <c r="C35" s="100">
        <v>42.981818181818177</v>
      </c>
      <c r="D35" s="100">
        <v>43.955223880597018</v>
      </c>
      <c r="E35" s="100">
        <v>42.837528604118994</v>
      </c>
    </row>
    <row r="36" spans="1:7" x14ac:dyDescent="0.2">
      <c r="A36" t="s">
        <v>255</v>
      </c>
      <c r="C36" s="100">
        <v>56.685714285714283</v>
      </c>
      <c r="D36" s="100">
        <v>58.947692307692307</v>
      </c>
      <c r="E36" s="100">
        <v>50.623853211009177</v>
      </c>
    </row>
    <row r="37" spans="1:7" x14ac:dyDescent="0.2">
      <c r="A37" s="39" t="s">
        <v>256</v>
      </c>
      <c r="B37" s="39"/>
      <c r="C37" s="99">
        <f t="shared" ref="C37:E37" si="0">AVERAGE(C25:C36)</f>
        <v>42.497041743907857</v>
      </c>
      <c r="D37" s="99">
        <f t="shared" si="0"/>
        <v>43.773006916590369</v>
      </c>
      <c r="E37" s="99">
        <f t="shared" si="0"/>
        <v>47.749414821816266</v>
      </c>
    </row>
    <row r="38" spans="1:7" x14ac:dyDescent="0.2">
      <c r="A38" s="16" t="str">
        <f>A2&amp;" - "&amp;A1</f>
        <v>Cash flow section - Monthly DSO, DIO and DPO overview</v>
      </c>
    </row>
    <row r="39" spans="1:7" x14ac:dyDescent="0.2">
      <c r="A39" s="16" t="s">
        <v>44</v>
      </c>
    </row>
    <row r="41" spans="1:7" x14ac:dyDescent="0.2">
      <c r="A41" s="10" t="s">
        <v>259</v>
      </c>
      <c r="B41" s="13"/>
      <c r="C41" s="13"/>
      <c r="D41" s="13"/>
      <c r="E41" s="13"/>
      <c r="G41" s="1" t="s">
        <v>265</v>
      </c>
    </row>
    <row r="42" spans="1:7" x14ac:dyDescent="0.2">
      <c r="A42" s="28" t="s">
        <v>243</v>
      </c>
      <c r="B42" s="50" t="s">
        <v>40</v>
      </c>
      <c r="C42" s="33" t="s">
        <v>41</v>
      </c>
      <c r="D42" s="33" t="s">
        <v>42</v>
      </c>
      <c r="E42" s="33" t="s">
        <v>43</v>
      </c>
    </row>
    <row r="43" spans="1:7" x14ac:dyDescent="0.2">
      <c r="A43" t="s">
        <v>244</v>
      </c>
      <c r="C43" s="100">
        <v>12.934285485035707</v>
      </c>
      <c r="D43" s="100">
        <v>13.16119479656126</v>
      </c>
      <c r="E43" s="100">
        <v>20.476084112447751</v>
      </c>
    </row>
    <row r="44" spans="1:7" x14ac:dyDescent="0.2">
      <c r="A44" t="s">
        <v>245</v>
      </c>
      <c r="C44" s="100">
        <v>10.233241505968778</v>
      </c>
      <c r="D44" s="100">
        <v>11.894214876033059</v>
      </c>
      <c r="E44" s="100">
        <v>18.790778599391039</v>
      </c>
    </row>
    <row r="45" spans="1:7" x14ac:dyDescent="0.2">
      <c r="A45" t="s">
        <v>246</v>
      </c>
      <c r="C45" s="100">
        <v>11.37356506609679</v>
      </c>
      <c r="D45" s="100">
        <v>14.18499322967736</v>
      </c>
      <c r="E45" s="100">
        <v>21.725619834710741</v>
      </c>
    </row>
    <row r="46" spans="1:7" x14ac:dyDescent="0.2">
      <c r="A46" t="s">
        <v>247</v>
      </c>
      <c r="C46" s="100">
        <v>14.591942148760332</v>
      </c>
      <c r="D46" s="100">
        <v>14.810209902728005</v>
      </c>
      <c r="E46" s="100">
        <v>18.365472910927458</v>
      </c>
    </row>
    <row r="47" spans="1:7" x14ac:dyDescent="0.2">
      <c r="A47" t="s">
        <v>248</v>
      </c>
      <c r="C47" s="100">
        <v>11.558716125312319</v>
      </c>
      <c r="D47" s="100">
        <v>14.051188416938947</v>
      </c>
      <c r="E47" s="100">
        <v>21.694214876033058</v>
      </c>
    </row>
    <row r="48" spans="1:7" x14ac:dyDescent="0.2">
      <c r="A48" t="s">
        <v>249</v>
      </c>
      <c r="C48" s="100">
        <v>13.715491471777739</v>
      </c>
      <c r="D48" s="100">
        <v>11.981934928876464</v>
      </c>
      <c r="E48" s="100">
        <v>20.348785320314871</v>
      </c>
    </row>
    <row r="49" spans="1:7" x14ac:dyDescent="0.2">
      <c r="A49" t="s">
        <v>250</v>
      </c>
      <c r="C49" s="100">
        <v>13.251638643488175</v>
      </c>
      <c r="D49" s="100">
        <v>14.56336611884486</v>
      </c>
      <c r="E49" s="100">
        <v>19.445794846864366</v>
      </c>
    </row>
    <row r="50" spans="1:7" x14ac:dyDescent="0.2">
      <c r="A50" t="s">
        <v>251</v>
      </c>
      <c r="C50" s="100">
        <v>15.933431450243408</v>
      </c>
      <c r="D50" s="100">
        <v>14.887201250837613</v>
      </c>
      <c r="E50" s="100">
        <v>23.047351307410921</v>
      </c>
    </row>
    <row r="51" spans="1:7" x14ac:dyDescent="0.2">
      <c r="A51" t="s">
        <v>252</v>
      </c>
      <c r="C51" s="100">
        <v>12.207912069471829</v>
      </c>
      <c r="D51" s="100">
        <v>16.164852368296504</v>
      </c>
      <c r="E51" s="100">
        <v>22.390504969599885</v>
      </c>
    </row>
    <row r="52" spans="1:7" x14ac:dyDescent="0.2">
      <c r="A52" t="s">
        <v>253</v>
      </c>
      <c r="C52" s="100">
        <v>10.350870720188903</v>
      </c>
      <c r="D52" s="100">
        <v>11.768657532534487</v>
      </c>
      <c r="E52" s="100">
        <v>17.079889807162534</v>
      </c>
    </row>
    <row r="53" spans="1:7" x14ac:dyDescent="0.2">
      <c r="A53" t="s">
        <v>254</v>
      </c>
      <c r="C53" s="100">
        <v>11.911183997583239</v>
      </c>
      <c r="D53" s="100">
        <v>12.249114521841797</v>
      </c>
      <c r="E53" s="100">
        <v>18.507740658829007</v>
      </c>
    </row>
    <row r="54" spans="1:7" x14ac:dyDescent="0.2">
      <c r="A54" t="s">
        <v>255</v>
      </c>
      <c r="C54" s="100">
        <v>20.243869394391005</v>
      </c>
      <c r="D54" s="100">
        <v>21.678321678321677</v>
      </c>
      <c r="E54" s="100">
        <v>23.987998104963943</v>
      </c>
    </row>
    <row r="55" spans="1:7" x14ac:dyDescent="0.2">
      <c r="A55" s="39" t="s">
        <v>256</v>
      </c>
      <c r="B55" s="39"/>
      <c r="C55" s="99">
        <f t="shared" ref="C55:E55" si="1">AVERAGE(C43:C54)</f>
        <v>13.192179006526517</v>
      </c>
      <c r="D55" s="99">
        <f t="shared" si="1"/>
        <v>14.282937468457668</v>
      </c>
      <c r="E55" s="99">
        <f t="shared" si="1"/>
        <v>20.488352945721299</v>
      </c>
    </row>
    <row r="56" spans="1:7" x14ac:dyDescent="0.2">
      <c r="A56" s="16" t="str">
        <f>A2&amp;" - "&amp;A1</f>
        <v>Cash flow section - Monthly DSO, DIO and DPO overview</v>
      </c>
    </row>
    <row r="57" spans="1:7" x14ac:dyDescent="0.2">
      <c r="A57" s="16" t="s">
        <v>44</v>
      </c>
    </row>
    <row r="59" spans="1:7" x14ac:dyDescent="0.2">
      <c r="A59" s="10" t="s">
        <v>263</v>
      </c>
      <c r="B59" s="13"/>
      <c r="C59" s="13"/>
      <c r="D59" s="13"/>
      <c r="E59" s="13"/>
      <c r="G59" s="1" t="s">
        <v>267</v>
      </c>
    </row>
    <row r="60" spans="1:7" x14ac:dyDescent="0.2">
      <c r="A60" s="28" t="s">
        <v>243</v>
      </c>
      <c r="B60" s="50" t="s">
        <v>40</v>
      </c>
      <c r="C60" s="33" t="s">
        <v>41</v>
      </c>
      <c r="D60" s="33" t="s">
        <v>42</v>
      </c>
      <c r="E60" s="33" t="s">
        <v>43</v>
      </c>
    </row>
    <row r="61" spans="1:7" x14ac:dyDescent="0.2">
      <c r="A61" t="s">
        <v>244</v>
      </c>
      <c r="C61" s="100">
        <f>C7+C25-C43</f>
        <v>46.572886946148003</v>
      </c>
      <c r="D61" s="100">
        <f t="shared" ref="D61:E61" si="2">D7+D25-D43</f>
        <v>44.045478563708905</v>
      </c>
      <c r="E61" s="100">
        <f t="shared" si="2"/>
        <v>39.836830888776312</v>
      </c>
    </row>
    <row r="62" spans="1:7" x14ac:dyDescent="0.2">
      <c r="A62" t="s">
        <v>245</v>
      </c>
      <c r="C62" s="100">
        <f t="shared" ref="C62:E62" si="3">C8+C26-C44</f>
        <v>43.149160740598376</v>
      </c>
      <c r="D62" s="100">
        <f t="shared" si="3"/>
        <v>46.054374843476076</v>
      </c>
      <c r="E62" s="100">
        <f t="shared" si="3"/>
        <v>38.735052120163246</v>
      </c>
    </row>
    <row r="63" spans="1:7" x14ac:dyDescent="0.2">
      <c r="A63" t="s">
        <v>246</v>
      </c>
      <c r="C63" s="100">
        <f t="shared" ref="C63:E63" si="4">C9+C27-C45</f>
        <v>50.554069547021996</v>
      </c>
      <c r="D63" s="100">
        <f t="shared" si="4"/>
        <v>48.078792873354857</v>
      </c>
      <c r="E63" s="100">
        <f t="shared" si="4"/>
        <v>35.532640378512902</v>
      </c>
    </row>
    <row r="64" spans="1:7" x14ac:dyDescent="0.2">
      <c r="A64" t="s">
        <v>247</v>
      </c>
      <c r="C64" s="100">
        <f t="shared" ref="C64:E64" si="5">C10+C28-C46</f>
        <v>40.614010949154171</v>
      </c>
      <c r="D64" s="100">
        <f t="shared" si="5"/>
        <v>43.773077671057166</v>
      </c>
      <c r="E64" s="100">
        <f t="shared" si="5"/>
        <v>47.27938969412255</v>
      </c>
    </row>
    <row r="65" spans="1:5" x14ac:dyDescent="0.2">
      <c r="A65" t="s">
        <v>248</v>
      </c>
      <c r="C65" s="100">
        <f t="shared" ref="C65:E65" si="6">C11+C29-C47</f>
        <v>53.045164443879258</v>
      </c>
      <c r="D65" s="100">
        <f t="shared" si="6"/>
        <v>45.902493207533347</v>
      </c>
      <c r="E65" s="100">
        <f t="shared" si="6"/>
        <v>36.992862517992236</v>
      </c>
    </row>
    <row r="66" spans="1:5" x14ac:dyDescent="0.2">
      <c r="A66" t="s">
        <v>249</v>
      </c>
      <c r="C66" s="100">
        <f t="shared" ref="C66:E66" si="7">C12+C30-C48</f>
        <v>34.988466420474012</v>
      </c>
      <c r="D66" s="100">
        <f t="shared" si="7"/>
        <v>39.568600446235926</v>
      </c>
      <c r="E66" s="100">
        <f t="shared" si="7"/>
        <v>35.40258434571372</v>
      </c>
    </row>
    <row r="67" spans="1:5" x14ac:dyDescent="0.2">
      <c r="A67" t="s">
        <v>250</v>
      </c>
      <c r="C67" s="100">
        <f t="shared" ref="C67:E67" si="8">C13+C31-C49</f>
        <v>36.472464120177008</v>
      </c>
      <c r="D67" s="100">
        <f t="shared" si="8"/>
        <v>41.468961680161826</v>
      </c>
      <c r="E67" s="100">
        <f t="shared" si="8"/>
        <v>39.93286170466849</v>
      </c>
    </row>
    <row r="68" spans="1:5" x14ac:dyDescent="0.2">
      <c r="A68" t="s">
        <v>251</v>
      </c>
      <c r="C68" s="100">
        <f t="shared" ref="C68:E68" si="9">C14+C32-C50</f>
        <v>44.084712370408255</v>
      </c>
      <c r="D68" s="100">
        <f t="shared" si="9"/>
        <v>46.401813060793103</v>
      </c>
      <c r="E68" s="100">
        <f t="shared" si="9"/>
        <v>33.844025952965929</v>
      </c>
    </row>
    <row r="69" spans="1:5" x14ac:dyDescent="0.2">
      <c r="A69" t="s">
        <v>252</v>
      </c>
      <c r="C69" s="100">
        <f t="shared" ref="C69:E69" si="10">C15+C33-C51</f>
        <v>36.608013831165607</v>
      </c>
      <c r="D69" s="100">
        <f t="shared" si="10"/>
        <v>45.014895506713529</v>
      </c>
      <c r="E69" s="100">
        <f t="shared" si="10"/>
        <v>40.187771870999399</v>
      </c>
    </row>
    <row r="70" spans="1:5" x14ac:dyDescent="0.2">
      <c r="A70" t="s">
        <v>253</v>
      </c>
      <c r="C70" s="100">
        <f t="shared" ref="C70:E70" si="11">C16+C34-C52</f>
        <v>42.42976257301693</v>
      </c>
      <c r="D70" s="100">
        <f t="shared" si="11"/>
        <v>45.033479925719064</v>
      </c>
      <c r="E70" s="100">
        <f t="shared" si="11"/>
        <v>41.776358988148644</v>
      </c>
    </row>
    <row r="71" spans="1:5" x14ac:dyDescent="0.2">
      <c r="A71" t="s">
        <v>254</v>
      </c>
      <c r="C71" s="100">
        <f t="shared" ref="C71:E71" si="12">C17+C35-C53</f>
        <v>46.620873418684702</v>
      </c>
      <c r="D71" s="100">
        <f t="shared" si="12"/>
        <v>51.214252074712654</v>
      </c>
      <c r="E71" s="100">
        <f t="shared" si="12"/>
        <v>34.319198078809642</v>
      </c>
    </row>
    <row r="72" spans="1:5" x14ac:dyDescent="0.2">
      <c r="A72" t="s">
        <v>255</v>
      </c>
      <c r="C72" s="100">
        <f t="shared" ref="C72:E72" si="13">C18+C36-C54</f>
        <v>47.796089819948371</v>
      </c>
      <c r="D72" s="100">
        <f t="shared" si="13"/>
        <v>49.675614118501812</v>
      </c>
      <c r="E72" s="100">
        <f t="shared" si="13"/>
        <v>34.033370294048083</v>
      </c>
    </row>
    <row r="73" spans="1:5" x14ac:dyDescent="0.2">
      <c r="A73" s="39" t="s">
        <v>256</v>
      </c>
      <c r="B73" s="39"/>
      <c r="C73" s="99">
        <f t="shared" ref="C73" si="14">AVERAGE(C61:C72)</f>
        <v>43.57797293172306</v>
      </c>
      <c r="D73" s="99">
        <f t="shared" ref="D73" si="15">AVERAGE(D61:D72)</f>
        <v>45.519319497664021</v>
      </c>
      <c r="E73" s="99">
        <f t="shared" ref="E73" si="16">AVERAGE(E61:E72)</f>
        <v>38.156078902910089</v>
      </c>
    </row>
    <row r="74" spans="1:5" x14ac:dyDescent="0.2">
      <c r="A74" s="16" t="str">
        <f>A2&amp;" - "&amp;A1</f>
        <v>Cash flow section - Monthly DSO, DIO and DPO overview</v>
      </c>
    </row>
    <row r="75" spans="1:5" x14ac:dyDescent="0.2">
      <c r="A75" s="16" t="s">
        <v>44</v>
      </c>
    </row>
  </sheetData>
  <hyperlinks>
    <hyperlink ref="A3" location="Contents!A1" display="Back to: Table of contents" xr:uid="{37655AB2-3AC0-A14E-85B3-158B9B6AD15B}"/>
  </hyperlinks>
  <pageMargins left="0.70866141732283472" right="0.70866141732283472" top="1.3385826771653544" bottom="0.74803149606299213" header="0.31496062992125984" footer="0.31496062992125984"/>
  <pageSetup paperSize="9" scale="73" fitToHeight="2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rowBreaks count="1" manualBreakCount="1">
    <brk id="40" max="11" man="1"/>
  </rowBreaks>
  <drawing r:id="rId1"/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4F1B4-81F5-D34C-B343-BEF20F139430}">
  <sheetPr>
    <tabColor rgb="FF00B0F0"/>
    <pageSetUpPr fitToPage="1"/>
  </sheetPr>
  <dimension ref="A1:C8"/>
  <sheetViews>
    <sheetView showGridLines="0" workbookViewId="0">
      <selection activeCell="B14" sqref="B14"/>
    </sheetView>
  </sheetViews>
  <sheetFormatPr baseColWidth="10" defaultRowHeight="16" x14ac:dyDescent="0.2"/>
  <cols>
    <col min="1" max="1" width="33.83203125" customWidth="1"/>
  </cols>
  <sheetData>
    <row r="1" spans="1:3" ht="21" x14ac:dyDescent="0.25">
      <c r="A1" s="2" t="s">
        <v>27</v>
      </c>
    </row>
    <row r="2" spans="1:3" ht="19" x14ac:dyDescent="0.25">
      <c r="A2" s="7"/>
    </row>
    <row r="3" spans="1:3" x14ac:dyDescent="0.2">
      <c r="A3" s="48"/>
    </row>
    <row r="4" spans="1:3" x14ac:dyDescent="0.2">
      <c r="A4" s="10" t="s">
        <v>32</v>
      </c>
      <c r="B4" s="10" t="s">
        <v>33</v>
      </c>
      <c r="C4" s="95" t="s">
        <v>34</v>
      </c>
    </row>
    <row r="5" spans="1:3" x14ac:dyDescent="0.2">
      <c r="A5" s="12" t="str">
        <f>'FC1'!A1</f>
        <v>Income statement FY19 - FY25</v>
      </c>
      <c r="B5" t="s">
        <v>28</v>
      </c>
      <c r="C5">
        <v>32</v>
      </c>
    </row>
    <row r="6" spans="1:3" x14ac:dyDescent="0.2">
      <c r="A6" s="12" t="str">
        <f>'FC2'!A1</f>
        <v>Balance sheet Dec19 - Dec25</v>
      </c>
      <c r="B6" t="s">
        <v>29</v>
      </c>
      <c r="C6">
        <v>33</v>
      </c>
    </row>
    <row r="7" spans="1:3" x14ac:dyDescent="0.2">
      <c r="A7" s="12" t="str">
        <f>'FC3'!A1</f>
        <v>Cash flow FY19 - FY25</v>
      </c>
      <c r="B7" t="s">
        <v>30</v>
      </c>
      <c r="C7">
        <v>35</v>
      </c>
    </row>
    <row r="8" spans="1:3" x14ac:dyDescent="0.2">
      <c r="A8" s="12" t="str">
        <f>'FC4'!A1</f>
        <v>Forecast assumptions</v>
      </c>
      <c r="B8" t="s">
        <v>269</v>
      </c>
      <c r="C8">
        <v>36</v>
      </c>
    </row>
  </sheetData>
  <hyperlinks>
    <hyperlink ref="A5" location="'FC1'!A1" display="'FC1'!A1" xr:uid="{EFBF9110-D561-B64C-BCE2-038B6363B8B4}"/>
    <hyperlink ref="A6" location="'FC2'!A1" display="'FC2'!A1" xr:uid="{F88A8364-26A7-104E-B147-2A029819F680}"/>
    <hyperlink ref="A7" location="'FC3'!A1" display="'FC3'!A1" xr:uid="{7036E2B5-D0B1-0641-9C68-70F2BB480700}"/>
    <hyperlink ref="A8" location="'FC4'!A1" display="'FC4'!A1" xr:uid="{A41F7BBD-6CD0-F64C-B52F-E62D9D5D3837}"/>
  </hyperlinks>
  <pageMargins left="0.70866141732283472" right="0.70866141732283472" top="1.3385826771653544" bottom="0.74803149606299213" header="0.31496062992125984" footer="0.31496062992125984"/>
  <pageSetup paperSize="9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legacyDrawingHF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5DED8-E817-E046-8EC6-ECF11E0A946B}">
  <sheetPr>
    <tabColor rgb="FF00B0F0"/>
    <pageSetUpPr fitToPage="1"/>
  </sheetPr>
  <dimension ref="A1:M33"/>
  <sheetViews>
    <sheetView showGridLines="0" workbookViewId="0">
      <selection activeCell="B14" sqref="B14"/>
    </sheetView>
  </sheetViews>
  <sheetFormatPr baseColWidth="10" defaultRowHeight="16" outlineLevelCol="1" x14ac:dyDescent="0.2"/>
  <cols>
    <col min="1" max="1" width="25.83203125" customWidth="1"/>
    <col min="2" max="2" width="5.1640625" customWidth="1"/>
    <col min="3" max="4" width="10.83203125" hidden="1" customWidth="1" outlineLevel="1"/>
    <col min="5" max="5" width="10.83203125" collapsed="1"/>
    <col min="12" max="12" width="2.1640625" customWidth="1"/>
  </cols>
  <sheetData>
    <row r="1" spans="1:13" ht="21" x14ac:dyDescent="0.25">
      <c r="A1" s="2" t="s">
        <v>185</v>
      </c>
    </row>
    <row r="2" spans="1:13" ht="19" x14ac:dyDescent="0.25">
      <c r="A2" s="7" t="str">
        <f>FC!A1</f>
        <v>Forecast section</v>
      </c>
    </row>
    <row r="3" spans="1:13" x14ac:dyDescent="0.2">
      <c r="A3" s="47" t="s">
        <v>101</v>
      </c>
    </row>
    <row r="4" spans="1:13" x14ac:dyDescent="0.2">
      <c r="A4" s="13"/>
      <c r="B4" s="13"/>
      <c r="C4" s="13"/>
      <c r="D4" s="13"/>
      <c r="E4" s="13"/>
      <c r="F4" s="35"/>
      <c r="G4" s="35"/>
      <c r="H4" s="35"/>
      <c r="I4" s="35"/>
      <c r="J4" s="35"/>
      <c r="K4" s="35"/>
    </row>
    <row r="5" spans="1:13" x14ac:dyDescent="0.2">
      <c r="A5" s="28" t="s">
        <v>39</v>
      </c>
      <c r="B5" s="50" t="s">
        <v>40</v>
      </c>
      <c r="C5" s="29" t="s">
        <v>228</v>
      </c>
      <c r="D5" s="29" t="s">
        <v>229</v>
      </c>
      <c r="E5" s="29" t="s">
        <v>230</v>
      </c>
      <c r="F5" s="29" t="s">
        <v>222</v>
      </c>
      <c r="G5" s="29" t="s">
        <v>223</v>
      </c>
      <c r="H5" s="29" t="s">
        <v>224</v>
      </c>
      <c r="I5" s="29" t="s">
        <v>225</v>
      </c>
      <c r="J5" s="29" t="s">
        <v>226</v>
      </c>
      <c r="K5" s="29" t="s">
        <v>227</v>
      </c>
      <c r="M5" s="80" t="s">
        <v>203</v>
      </c>
    </row>
    <row r="6" spans="1:13" x14ac:dyDescent="0.2">
      <c r="A6" t="s">
        <v>45</v>
      </c>
      <c r="C6" s="19">
        <v>6821</v>
      </c>
      <c r="D6" s="19">
        <v>8163</v>
      </c>
      <c r="E6" s="19">
        <v>9103</v>
      </c>
      <c r="F6" s="19">
        <v>9558.15</v>
      </c>
      <c r="G6" s="19">
        <v>10036.057500000001</v>
      </c>
      <c r="H6" s="19">
        <v>10537.860375000002</v>
      </c>
      <c r="I6" s="19">
        <v>11064.753393750003</v>
      </c>
      <c r="J6" s="19">
        <v>11617.991063437503</v>
      </c>
      <c r="K6" s="19">
        <v>12198.890616609378</v>
      </c>
    </row>
    <row r="7" spans="1:13" x14ac:dyDescent="0.2">
      <c r="A7" t="s">
        <v>46</v>
      </c>
      <c r="C7" s="19">
        <v>-3931</v>
      </c>
      <c r="D7" s="19">
        <v>-4934</v>
      </c>
      <c r="E7" s="19">
        <v>-5103</v>
      </c>
      <c r="F7" s="19">
        <v>-5734.8899999999994</v>
      </c>
      <c r="G7" s="19">
        <v>-5519.8316250000007</v>
      </c>
      <c r="H7" s="19">
        <v>-5795.8232062500019</v>
      </c>
      <c r="I7" s="19">
        <v>-6085.6143665625023</v>
      </c>
      <c r="J7" s="19">
        <v>-6389.895084890627</v>
      </c>
      <c r="K7" s="19">
        <v>-6709.3898391351586</v>
      </c>
    </row>
    <row r="8" spans="1:13" x14ac:dyDescent="0.2">
      <c r="A8" s="1" t="s">
        <v>47</v>
      </c>
      <c r="B8" s="1"/>
      <c r="C8" s="20">
        <f>SUM(C6:C7)</f>
        <v>2890</v>
      </c>
      <c r="D8" s="20">
        <f>SUM(D6:D7)</f>
        <v>3229</v>
      </c>
      <c r="E8" s="20">
        <f>SUM(E6:E7)</f>
        <v>4000</v>
      </c>
      <c r="F8" s="20">
        <f t="shared" ref="F8:K8" si="0">SUM(F6:F7)</f>
        <v>3823.26</v>
      </c>
      <c r="G8" s="20">
        <f t="shared" si="0"/>
        <v>4516.2258750000001</v>
      </c>
      <c r="H8" s="20">
        <f t="shared" si="0"/>
        <v>4742.0371687500001</v>
      </c>
      <c r="I8" s="20">
        <f t="shared" si="0"/>
        <v>4979.1390271875007</v>
      </c>
      <c r="J8" s="20">
        <f t="shared" si="0"/>
        <v>5228.0959785468758</v>
      </c>
      <c r="K8" s="20">
        <f t="shared" si="0"/>
        <v>5489.5007774742198</v>
      </c>
    </row>
    <row r="9" spans="1:13" x14ac:dyDescent="0.2">
      <c r="A9" t="s">
        <v>48</v>
      </c>
      <c r="C9" s="19">
        <v>-1432</v>
      </c>
      <c r="D9" s="19">
        <v>-1574</v>
      </c>
      <c r="E9" s="19">
        <v>-2018</v>
      </c>
      <c r="F9" s="19">
        <f>-1800</f>
        <v>-1800</v>
      </c>
      <c r="G9" s="19">
        <v>-2000</v>
      </c>
      <c r="H9" s="19">
        <v>-2150</v>
      </c>
      <c r="I9" s="19">
        <v>-2250</v>
      </c>
      <c r="J9" s="19">
        <v>-2275</v>
      </c>
      <c r="K9" s="19">
        <v>-2300</v>
      </c>
    </row>
    <row r="10" spans="1:13" x14ac:dyDescent="0.2">
      <c r="A10" t="s">
        <v>49</v>
      </c>
      <c r="C10" s="19">
        <v>-374</v>
      </c>
      <c r="D10" s="19">
        <v>-481</v>
      </c>
      <c r="E10" s="19">
        <v>-410</v>
      </c>
      <c r="F10" s="19">
        <v>-375</v>
      </c>
      <c r="G10" s="19">
        <v>-378.75</v>
      </c>
      <c r="H10" s="19">
        <v>-382.53750000000002</v>
      </c>
      <c r="I10" s="19">
        <v>-386.36287500000003</v>
      </c>
      <c r="J10" s="19">
        <v>-390.22650375000006</v>
      </c>
      <c r="K10" s="19">
        <v>-394.12876878750006</v>
      </c>
    </row>
    <row r="11" spans="1:13" x14ac:dyDescent="0.2">
      <c r="A11" t="s">
        <v>50</v>
      </c>
      <c r="C11" s="19">
        <v>-231</v>
      </c>
      <c r="D11" s="19">
        <v>-243</v>
      </c>
      <c r="E11" s="19">
        <v>-213</v>
      </c>
      <c r="F11" s="19">
        <v>-200</v>
      </c>
      <c r="G11" s="19">
        <v>-202</v>
      </c>
      <c r="H11" s="19">
        <v>-204.02</v>
      </c>
      <c r="I11" s="19">
        <v>-206.06020000000001</v>
      </c>
      <c r="J11" s="19">
        <v>-208.120802</v>
      </c>
      <c r="K11" s="19">
        <v>-210.20201001999999</v>
      </c>
    </row>
    <row r="12" spans="1:13" x14ac:dyDescent="0.2">
      <c r="A12" t="s">
        <v>51</v>
      </c>
      <c r="C12" s="19">
        <v>-129</v>
      </c>
      <c r="D12" s="19">
        <v>-184</v>
      </c>
      <c r="E12" s="19">
        <v>-122</v>
      </c>
      <c r="F12" s="19">
        <v>-100</v>
      </c>
      <c r="G12" s="19">
        <v>-101</v>
      </c>
      <c r="H12" s="19">
        <v>-102.01</v>
      </c>
      <c r="I12" s="19">
        <v>-103.0301</v>
      </c>
      <c r="J12" s="19">
        <v>-104.060401</v>
      </c>
      <c r="K12" s="19">
        <v>-105.10100500999999</v>
      </c>
    </row>
    <row r="13" spans="1:13" x14ac:dyDescent="0.2">
      <c r="A13" t="s">
        <v>52</v>
      </c>
      <c r="C13" s="19">
        <v>-201</v>
      </c>
      <c r="D13" s="19">
        <v>-150</v>
      </c>
      <c r="E13" s="19">
        <v>-106</v>
      </c>
      <c r="F13" s="19">
        <v>-75</v>
      </c>
      <c r="G13" s="19">
        <v>-75</v>
      </c>
      <c r="H13" s="19">
        <v>-75</v>
      </c>
      <c r="I13" s="19">
        <v>-75</v>
      </c>
      <c r="J13" s="19">
        <v>-75</v>
      </c>
      <c r="K13" s="19">
        <v>-75</v>
      </c>
    </row>
    <row r="14" spans="1:13" s="6" customFormat="1" x14ac:dyDescent="0.2">
      <c r="A14" s="18" t="s">
        <v>53</v>
      </c>
      <c r="B14" s="18"/>
      <c r="C14" s="21">
        <f>SUM(C9:C13)</f>
        <v>-2367</v>
      </c>
      <c r="D14" s="21">
        <f>SUM(D9:D13)</f>
        <v>-2632</v>
      </c>
      <c r="E14" s="21">
        <f>SUM(E9:E13)</f>
        <v>-2869</v>
      </c>
      <c r="F14" s="21">
        <f t="shared" ref="F14:K14" si="1">SUM(F9:F13)</f>
        <v>-2550</v>
      </c>
      <c r="G14" s="21">
        <f t="shared" si="1"/>
        <v>-2756.75</v>
      </c>
      <c r="H14" s="21">
        <f t="shared" si="1"/>
        <v>-2913.5675000000001</v>
      </c>
      <c r="I14" s="21">
        <f t="shared" si="1"/>
        <v>-3020.4531749999996</v>
      </c>
      <c r="J14" s="21">
        <f t="shared" si="1"/>
        <v>-3052.4077067500002</v>
      </c>
      <c r="K14" s="21">
        <f t="shared" si="1"/>
        <v>-3084.4317838174998</v>
      </c>
    </row>
    <row r="15" spans="1:13" s="1" customFormat="1" x14ac:dyDescent="0.2">
      <c r="A15" s="36" t="s">
        <v>64</v>
      </c>
      <c r="B15" s="36"/>
      <c r="C15" s="37">
        <f>SUM(C8,C14)</f>
        <v>523</v>
      </c>
      <c r="D15" s="37">
        <f>SUM(D8,D14)</f>
        <v>597</v>
      </c>
      <c r="E15" s="37">
        <f>SUM(E8,E14)</f>
        <v>1131</v>
      </c>
      <c r="F15" s="37">
        <f t="shared" ref="F15:K15" si="2">SUM(F8,F14)</f>
        <v>1273.2600000000002</v>
      </c>
      <c r="G15" s="37">
        <f t="shared" si="2"/>
        <v>1759.4758750000001</v>
      </c>
      <c r="H15" s="37">
        <f t="shared" si="2"/>
        <v>1828.46966875</v>
      </c>
      <c r="I15" s="37">
        <f t="shared" si="2"/>
        <v>1958.685852187501</v>
      </c>
      <c r="J15" s="37">
        <f t="shared" si="2"/>
        <v>2175.6882717968756</v>
      </c>
      <c r="K15" s="37">
        <f t="shared" si="2"/>
        <v>2405.0689936567201</v>
      </c>
    </row>
    <row r="16" spans="1:13" x14ac:dyDescent="0.2">
      <c r="A16" t="s">
        <v>54</v>
      </c>
      <c r="C16" s="19">
        <v>-117</v>
      </c>
      <c r="D16" s="19">
        <v>-357</v>
      </c>
      <c r="E16" s="19">
        <v>-454</v>
      </c>
      <c r="F16" s="19">
        <v>-450</v>
      </c>
      <c r="G16" s="19">
        <v>-450</v>
      </c>
      <c r="H16" s="19">
        <v>-450</v>
      </c>
      <c r="I16" s="19">
        <v>-450</v>
      </c>
      <c r="J16" s="19">
        <v>-450</v>
      </c>
      <c r="K16" s="19">
        <v>-450</v>
      </c>
    </row>
    <row r="17" spans="1:13" s="1" customFormat="1" x14ac:dyDescent="0.2">
      <c r="A17" s="1" t="s">
        <v>60</v>
      </c>
      <c r="C17" s="20">
        <f>SUM(C15:C16)</f>
        <v>406</v>
      </c>
      <c r="D17" s="20">
        <f t="shared" ref="D17:K17" si="3">SUM(D15:D16)</f>
        <v>240</v>
      </c>
      <c r="E17" s="20">
        <f t="shared" si="3"/>
        <v>677</v>
      </c>
      <c r="F17" s="20">
        <f t="shared" si="3"/>
        <v>823.26000000000022</v>
      </c>
      <c r="G17" s="20">
        <f t="shared" si="3"/>
        <v>1309.4758750000001</v>
      </c>
      <c r="H17" s="20">
        <f t="shared" si="3"/>
        <v>1378.46966875</v>
      </c>
      <c r="I17" s="20">
        <f t="shared" si="3"/>
        <v>1508.685852187501</v>
      </c>
      <c r="J17" s="20">
        <f t="shared" si="3"/>
        <v>1725.6882717968756</v>
      </c>
      <c r="K17" s="20">
        <f t="shared" si="3"/>
        <v>1955.0689936567201</v>
      </c>
    </row>
    <row r="18" spans="1:13" x14ac:dyDescent="0.2">
      <c r="A18" t="s">
        <v>55</v>
      </c>
      <c r="C18" s="19">
        <v>-222</v>
      </c>
      <c r="D18" s="19">
        <v>-324</v>
      </c>
      <c r="E18" s="19">
        <v>-418</v>
      </c>
      <c r="F18" s="19">
        <v>-150</v>
      </c>
      <c r="G18" s="19">
        <v>-150</v>
      </c>
      <c r="H18" s="19">
        <v>-150</v>
      </c>
      <c r="I18" s="19">
        <v>-150</v>
      </c>
      <c r="J18" s="19">
        <v>-150</v>
      </c>
      <c r="K18" s="19">
        <v>-150</v>
      </c>
    </row>
    <row r="19" spans="1:13" x14ac:dyDescent="0.2">
      <c r="A19" t="s">
        <v>56</v>
      </c>
      <c r="C19" s="19">
        <v>216</v>
      </c>
      <c r="D19" s="19">
        <v>386</v>
      </c>
      <c r="E19" s="19">
        <v>478</v>
      </c>
      <c r="F19" s="19">
        <v>150</v>
      </c>
      <c r="G19" s="19">
        <v>150</v>
      </c>
      <c r="H19" s="19">
        <v>150</v>
      </c>
      <c r="I19" s="19">
        <v>150</v>
      </c>
      <c r="J19" s="19">
        <v>150</v>
      </c>
      <c r="K19" s="19">
        <v>150</v>
      </c>
    </row>
    <row r="20" spans="1:13" s="1" customFormat="1" x14ac:dyDescent="0.2">
      <c r="A20" s="1" t="s">
        <v>59</v>
      </c>
      <c r="C20" s="20">
        <f>SUM(C17:C19)</f>
        <v>400</v>
      </c>
      <c r="D20" s="20">
        <f>SUM(D17:D19)</f>
        <v>302</v>
      </c>
      <c r="E20" s="20">
        <f>SUM(E17:E19)</f>
        <v>737</v>
      </c>
      <c r="F20" s="20">
        <f t="shared" ref="F20:K20" si="4">SUM(F17:F19)</f>
        <v>823.26000000000022</v>
      </c>
      <c r="G20" s="20">
        <f t="shared" si="4"/>
        <v>1309.4758750000001</v>
      </c>
      <c r="H20" s="20">
        <f t="shared" si="4"/>
        <v>1378.46966875</v>
      </c>
      <c r="I20" s="20">
        <f t="shared" si="4"/>
        <v>1508.685852187501</v>
      </c>
      <c r="J20" s="20">
        <f t="shared" si="4"/>
        <v>1725.6882717968756</v>
      </c>
      <c r="K20" s="20">
        <f t="shared" si="4"/>
        <v>1955.0689936567201</v>
      </c>
    </row>
    <row r="21" spans="1:13" x14ac:dyDescent="0.2">
      <c r="A21" s="13" t="s">
        <v>57</v>
      </c>
      <c r="B21" s="13"/>
      <c r="C21" s="22">
        <v>-87</v>
      </c>
      <c r="D21" s="22">
        <v>-89</v>
      </c>
      <c r="E21" s="22">
        <v>-187</v>
      </c>
      <c r="F21" s="22">
        <v>-205.81500000000005</v>
      </c>
      <c r="G21" s="22">
        <v>-327.36896875000002</v>
      </c>
      <c r="H21" s="22">
        <v>-344.6174171875</v>
      </c>
      <c r="I21" s="22">
        <v>-377.17146304687526</v>
      </c>
      <c r="J21" s="22">
        <v>-431.4220679492189</v>
      </c>
      <c r="K21" s="22">
        <v>-488.76724841418002</v>
      </c>
      <c r="M21" s="80"/>
    </row>
    <row r="22" spans="1:13" s="1" customFormat="1" x14ac:dyDescent="0.2">
      <c r="A22" s="39" t="s">
        <v>58</v>
      </c>
      <c r="B22" s="39"/>
      <c r="C22" s="37">
        <f>SUM(C20:C21)</f>
        <v>313</v>
      </c>
      <c r="D22" s="37">
        <f>SUM(D20:D21)</f>
        <v>213</v>
      </c>
      <c r="E22" s="37">
        <f>SUM(E20:E21)</f>
        <v>550</v>
      </c>
      <c r="F22" s="37">
        <f t="shared" ref="F22:K22" si="5">SUM(F20:F21)</f>
        <v>617.44500000000016</v>
      </c>
      <c r="G22" s="37">
        <f t="shared" si="5"/>
        <v>982.10690625000007</v>
      </c>
      <c r="H22" s="37">
        <f t="shared" si="5"/>
        <v>1033.8522515625</v>
      </c>
      <c r="I22" s="37">
        <f t="shared" si="5"/>
        <v>1131.5143891406258</v>
      </c>
      <c r="J22" s="37">
        <f t="shared" si="5"/>
        <v>1294.2662038476567</v>
      </c>
      <c r="K22" s="37">
        <f t="shared" si="5"/>
        <v>1466.3017452425402</v>
      </c>
    </row>
    <row r="23" spans="1:13" s="1" customFormat="1" x14ac:dyDescent="0.2">
      <c r="A23" s="30" t="s">
        <v>62</v>
      </c>
      <c r="B23" s="24"/>
      <c r="C23" s="23"/>
      <c r="D23" s="23"/>
      <c r="E23" s="23"/>
      <c r="F23" s="23"/>
      <c r="G23" s="23"/>
      <c r="H23" s="23"/>
      <c r="I23" s="23"/>
      <c r="J23" s="23"/>
      <c r="K23" s="23"/>
    </row>
    <row r="24" spans="1:13" s="1" customFormat="1" x14ac:dyDescent="0.2">
      <c r="A24" s="17" t="s">
        <v>63</v>
      </c>
      <c r="B24" s="24"/>
      <c r="C24" s="32" t="s">
        <v>68</v>
      </c>
      <c r="D24" s="25">
        <f>(D6-C6)/C6*100</f>
        <v>19.674534525729364</v>
      </c>
      <c r="E24" s="25">
        <f>(E6-D6)/D6*100</f>
        <v>11.515374249663115</v>
      </c>
      <c r="F24" s="25">
        <f t="shared" ref="F24:K24" si="6">(F6-E6)/E6*100</f>
        <v>4.9999999999999964</v>
      </c>
      <c r="G24" s="25">
        <f t="shared" si="6"/>
        <v>5.0000000000000124</v>
      </c>
      <c r="H24" s="25">
        <f t="shared" si="6"/>
        <v>5.0000000000000124</v>
      </c>
      <c r="I24" s="25">
        <f t="shared" si="6"/>
        <v>5.000000000000008</v>
      </c>
      <c r="J24" s="25">
        <f t="shared" si="6"/>
        <v>4.9999999999999973</v>
      </c>
      <c r="K24" s="25">
        <f t="shared" si="6"/>
        <v>5.0000000000000036</v>
      </c>
    </row>
    <row r="25" spans="1:13" s="1" customFormat="1" x14ac:dyDescent="0.2">
      <c r="A25" s="91" t="s">
        <v>107</v>
      </c>
      <c r="B25" s="24"/>
      <c r="C25" s="32"/>
      <c r="D25" s="25"/>
      <c r="E25" s="25"/>
      <c r="F25" s="25"/>
      <c r="G25" s="25"/>
      <c r="H25" s="25"/>
      <c r="I25" s="25"/>
      <c r="J25" s="25"/>
      <c r="K25" s="25"/>
    </row>
    <row r="26" spans="1:13" s="1" customFormat="1" x14ac:dyDescent="0.2">
      <c r="A26" s="92" t="s">
        <v>47</v>
      </c>
      <c r="B26" s="24"/>
      <c r="C26" s="93">
        <f>C8/C6*100</f>
        <v>42.369154082979037</v>
      </c>
      <c r="D26" s="93">
        <f t="shared" ref="D26:K26" si="7">D8/D6*100</f>
        <v>39.556535587406586</v>
      </c>
      <c r="E26" s="93">
        <f t="shared" si="7"/>
        <v>43.941557728221461</v>
      </c>
      <c r="F26" s="93">
        <f t="shared" si="7"/>
        <v>40</v>
      </c>
      <c r="G26" s="93">
        <f t="shared" si="7"/>
        <v>44.999999999999993</v>
      </c>
      <c r="H26" s="93">
        <f t="shared" si="7"/>
        <v>44.999999999999993</v>
      </c>
      <c r="I26" s="93">
        <f t="shared" si="7"/>
        <v>44.999999999999993</v>
      </c>
      <c r="J26" s="93">
        <f t="shared" si="7"/>
        <v>44.999999999999993</v>
      </c>
      <c r="K26" s="93">
        <f t="shared" si="7"/>
        <v>44.999999999999993</v>
      </c>
    </row>
    <row r="27" spans="1:13" s="1" customFormat="1" x14ac:dyDescent="0.2">
      <c r="A27" s="92" t="s">
        <v>167</v>
      </c>
      <c r="B27" s="24"/>
      <c r="C27" s="93">
        <f>-C14/C6*100</f>
        <v>34.701656648585249</v>
      </c>
      <c r="D27" s="93">
        <f t="shared" ref="D27:K27" si="8">-D14/D6*100</f>
        <v>32.24304789905672</v>
      </c>
      <c r="E27" s="93">
        <f t="shared" si="8"/>
        <v>31.517082280566843</v>
      </c>
      <c r="F27" s="93">
        <f t="shared" si="8"/>
        <v>26.678802906420174</v>
      </c>
      <c r="G27" s="93">
        <f t="shared" si="8"/>
        <v>27.468455616162025</v>
      </c>
      <c r="H27" s="93">
        <f t="shared" si="8"/>
        <v>27.648568080405976</v>
      </c>
      <c r="I27" s="93">
        <f t="shared" si="8"/>
        <v>27.297971021262178</v>
      </c>
      <c r="J27" s="93">
        <f t="shared" si="8"/>
        <v>26.273111160810803</v>
      </c>
      <c r="K27" s="93">
        <f t="shared" si="8"/>
        <v>25.284526935735425</v>
      </c>
    </row>
    <row r="28" spans="1:13" s="1" customFormat="1" x14ac:dyDescent="0.2">
      <c r="A28" s="92" t="s">
        <v>139</v>
      </c>
      <c r="B28" s="24"/>
      <c r="C28" s="93">
        <f>C15/C6*100</f>
        <v>7.6674974343937841</v>
      </c>
      <c r="D28" s="93">
        <f t="shared" ref="D28:K28" si="9">D15/D6*100</f>
        <v>7.3134876883498716</v>
      </c>
      <c r="E28" s="93">
        <f t="shared" si="9"/>
        <v>12.424475447654618</v>
      </c>
      <c r="F28" s="93">
        <f t="shared" si="9"/>
        <v>13.321197093579828</v>
      </c>
      <c r="G28" s="93">
        <f t="shared" si="9"/>
        <v>17.531544383837979</v>
      </c>
      <c r="H28" s="93">
        <f t="shared" si="9"/>
        <v>17.351431919594017</v>
      </c>
      <c r="I28" s="93">
        <f t="shared" si="9"/>
        <v>17.702028978737815</v>
      </c>
      <c r="J28" s="93">
        <f t="shared" si="9"/>
        <v>18.726888839189193</v>
      </c>
      <c r="K28" s="93">
        <f t="shared" si="9"/>
        <v>19.715473064264568</v>
      </c>
    </row>
    <row r="29" spans="1:13" s="1" customFormat="1" x14ac:dyDescent="0.2">
      <c r="A29" s="17" t="s">
        <v>65</v>
      </c>
      <c r="B29" s="24"/>
      <c r="C29" s="31">
        <v>21</v>
      </c>
      <c r="D29" s="31">
        <v>22.6</v>
      </c>
      <c r="E29" s="31">
        <v>29</v>
      </c>
      <c r="F29" s="31">
        <v>30</v>
      </c>
      <c r="G29" s="31">
        <v>32</v>
      </c>
      <c r="H29" s="31">
        <v>34</v>
      </c>
      <c r="I29" s="31">
        <v>35</v>
      </c>
      <c r="J29" s="31">
        <v>35</v>
      </c>
      <c r="K29" s="31">
        <v>35</v>
      </c>
    </row>
    <row r="30" spans="1:13" s="1" customFormat="1" x14ac:dyDescent="0.2">
      <c r="A30" s="17" t="s">
        <v>66</v>
      </c>
      <c r="B30" s="24"/>
      <c r="C30" s="31">
        <f>-C9/C29</f>
        <v>68.19047619047619</v>
      </c>
      <c r="D30" s="31">
        <f>-D9/D29</f>
        <v>69.646017699115035</v>
      </c>
      <c r="E30" s="31">
        <f>-E9/E29</f>
        <v>69.58620689655173</v>
      </c>
      <c r="F30" s="31">
        <f t="shared" ref="F30:K30" si="10">-F9/F29</f>
        <v>60</v>
      </c>
      <c r="G30" s="31">
        <f t="shared" si="10"/>
        <v>62.5</v>
      </c>
      <c r="H30" s="31">
        <f t="shared" si="10"/>
        <v>63.235294117647058</v>
      </c>
      <c r="I30" s="31">
        <f t="shared" si="10"/>
        <v>64.285714285714292</v>
      </c>
      <c r="J30" s="31">
        <f t="shared" si="10"/>
        <v>65</v>
      </c>
      <c r="K30" s="31">
        <f t="shared" si="10"/>
        <v>65.714285714285708</v>
      </c>
    </row>
    <row r="31" spans="1:13" x14ac:dyDescent="0.2">
      <c r="A31" s="18" t="s">
        <v>67</v>
      </c>
      <c r="B31" s="13"/>
      <c r="C31" s="27">
        <f>-C21/C20*100</f>
        <v>21.75</v>
      </c>
      <c r="D31" s="27">
        <f>-D21/D20*100</f>
        <v>29.47019867549669</v>
      </c>
      <c r="E31" s="27">
        <f>-E21/E20*100</f>
        <v>25.373134328358208</v>
      </c>
      <c r="F31" s="27">
        <f t="shared" ref="F31:K31" si="11">-F21/F20*100</f>
        <v>25</v>
      </c>
      <c r="G31" s="27">
        <f t="shared" si="11"/>
        <v>25</v>
      </c>
      <c r="H31" s="27">
        <f t="shared" si="11"/>
        <v>25</v>
      </c>
      <c r="I31" s="27">
        <f t="shared" si="11"/>
        <v>25</v>
      </c>
      <c r="J31" s="27">
        <f t="shared" si="11"/>
        <v>25</v>
      </c>
      <c r="K31" s="27">
        <f t="shared" si="11"/>
        <v>25</v>
      </c>
    </row>
    <row r="32" spans="1:13" x14ac:dyDescent="0.2">
      <c r="A32" s="16" t="str">
        <f>A2&amp;" - "&amp;A1</f>
        <v>Forecast section - Income statement FY19 - FY25</v>
      </c>
    </row>
    <row r="33" spans="1:1" x14ac:dyDescent="0.2">
      <c r="A33" s="16" t="s">
        <v>241</v>
      </c>
    </row>
  </sheetData>
  <hyperlinks>
    <hyperlink ref="A3" location="Contents!A1" display="Back to: Table of contents" xr:uid="{F980EC7E-328A-2F4F-8F8C-670E73EFEF80}"/>
  </hyperlinks>
  <pageMargins left="0.70866141732283472" right="0.70866141732283472" top="1.3385826771653544" bottom="0.74803149606299213" header="0.31496062992125984" footer="0.31496062992125984"/>
  <pageSetup paperSize="9" scale="70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87ED0-1B4E-A74A-AF30-3B519C557903}">
  <sheetPr>
    <tabColor theme="4"/>
    <pageSetUpPr fitToPage="1"/>
  </sheetPr>
  <dimension ref="A1:C7"/>
  <sheetViews>
    <sheetView showGridLines="0" workbookViewId="0">
      <selection activeCell="B14" sqref="B14"/>
    </sheetView>
  </sheetViews>
  <sheetFormatPr baseColWidth="10" defaultRowHeight="16" x14ac:dyDescent="0.2"/>
  <cols>
    <col min="1" max="1" width="33.6640625" customWidth="1"/>
  </cols>
  <sheetData>
    <row r="1" spans="1:3" ht="21" x14ac:dyDescent="0.25">
      <c r="A1" s="2" t="s">
        <v>3</v>
      </c>
    </row>
    <row r="3" spans="1:3" x14ac:dyDescent="0.2">
      <c r="A3" s="48"/>
    </row>
    <row r="4" spans="1:3" x14ac:dyDescent="0.2">
      <c r="A4" s="10" t="s">
        <v>32</v>
      </c>
      <c r="B4" s="10" t="s">
        <v>33</v>
      </c>
      <c r="C4" s="11" t="s">
        <v>34</v>
      </c>
    </row>
    <row r="5" spans="1:3" x14ac:dyDescent="0.2">
      <c r="A5" s="12" t="str">
        <f>'Lead-PL'!A1</f>
        <v>Lead income statement</v>
      </c>
      <c r="B5" t="s">
        <v>4</v>
      </c>
      <c r="C5">
        <v>4</v>
      </c>
    </row>
    <row r="6" spans="1:3" x14ac:dyDescent="0.2">
      <c r="A6" s="12" t="str">
        <f>'Lead-BS'!A1</f>
        <v>Lead balance sheet / capital employed</v>
      </c>
      <c r="B6" t="s">
        <v>5</v>
      </c>
      <c r="C6">
        <v>5</v>
      </c>
    </row>
    <row r="7" spans="1:3" x14ac:dyDescent="0.2">
      <c r="A7" s="12" t="str">
        <f>'Lead-CF'!A1</f>
        <v>Lead cash flow statement</v>
      </c>
      <c r="B7" t="s">
        <v>6</v>
      </c>
      <c r="C7">
        <v>6</v>
      </c>
    </row>
  </sheetData>
  <hyperlinks>
    <hyperlink ref="A5" location="'Lead-PL'!A1" display="'Lead-PL'!A1" xr:uid="{9D04186B-D019-5C41-91CA-2B4645DEF1D4}"/>
    <hyperlink ref="A6" location="'Lead-BS'!A1" display="'Lead-BS'!A1" xr:uid="{6E827FF5-EFDA-B14A-8A7B-7D0DA5ABECE4}"/>
    <hyperlink ref="A7" location="'Lead-CF'!A1" display="'Lead-CF'!A1" xr:uid="{F6CD42DB-A037-BF46-A2B3-0EC546100739}"/>
  </hyperlinks>
  <pageMargins left="0.70866141732283472" right="0.70866141732283472" top="1.3385826771653544" bottom="0.74803149606299213" header="0.31496062992125984" footer="0.31496062992125984"/>
  <pageSetup paperSize="9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legacyDrawingHF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22C44-CF0D-414E-97B4-C88C5C737FE5}">
  <sheetPr>
    <tabColor rgb="FF00B0F0"/>
  </sheetPr>
  <dimension ref="A1:X54"/>
  <sheetViews>
    <sheetView showGridLines="0" zoomScaleNormal="100" workbookViewId="0"/>
  </sheetViews>
  <sheetFormatPr baseColWidth="10" defaultRowHeight="16" x14ac:dyDescent="0.2"/>
  <cols>
    <col min="1" max="1" width="25.83203125" customWidth="1"/>
    <col min="2" max="2" width="5.1640625" customWidth="1"/>
  </cols>
  <sheetData>
    <row r="1" spans="1:11" ht="21" x14ac:dyDescent="0.25">
      <c r="A1" s="2" t="s">
        <v>186</v>
      </c>
    </row>
    <row r="2" spans="1:11" ht="19" x14ac:dyDescent="0.25">
      <c r="A2" s="7" t="str">
        <f>FC!A1</f>
        <v>Forecast section</v>
      </c>
    </row>
    <row r="3" spans="1:11" x14ac:dyDescent="0.2">
      <c r="A3" s="47" t="s">
        <v>101</v>
      </c>
    </row>
    <row r="4" spans="1:11" x14ac:dyDescent="0.2">
      <c r="A4" s="13"/>
      <c r="B4" s="13"/>
      <c r="C4" s="13"/>
      <c r="D4" s="13"/>
      <c r="E4" s="13"/>
    </row>
    <row r="5" spans="1:11" x14ac:dyDescent="0.2">
      <c r="A5" s="28" t="s">
        <v>39</v>
      </c>
      <c r="B5" s="50" t="s">
        <v>40</v>
      </c>
      <c r="C5" s="33" t="s">
        <v>231</v>
      </c>
      <c r="D5" s="33" t="s">
        <v>232</v>
      </c>
      <c r="E5" s="33" t="s">
        <v>233</v>
      </c>
      <c r="F5" s="33" t="s">
        <v>234</v>
      </c>
      <c r="G5" s="33" t="s">
        <v>235</v>
      </c>
      <c r="H5" s="33" t="s">
        <v>236</v>
      </c>
      <c r="I5" s="33" t="s">
        <v>237</v>
      </c>
      <c r="J5" s="33" t="s">
        <v>238</v>
      </c>
      <c r="K5" s="33" t="s">
        <v>239</v>
      </c>
    </row>
    <row r="6" spans="1:11" x14ac:dyDescent="0.2">
      <c r="A6" t="s">
        <v>70</v>
      </c>
      <c r="C6" s="19">
        <f>C32</f>
        <v>2131</v>
      </c>
      <c r="D6" s="19">
        <f t="shared" ref="D6:K6" si="0">D32</f>
        <v>1973</v>
      </c>
      <c r="E6" s="19">
        <f t="shared" si="0"/>
        <v>2410</v>
      </c>
      <c r="F6" s="19">
        <f t="shared" si="0"/>
        <v>2500</v>
      </c>
      <c r="G6" s="19">
        <f t="shared" si="0"/>
        <v>2750</v>
      </c>
      <c r="H6" s="19">
        <f t="shared" si="0"/>
        <v>2500</v>
      </c>
      <c r="I6" s="19">
        <f t="shared" si="0"/>
        <v>2400</v>
      </c>
      <c r="J6" s="19">
        <f t="shared" si="0"/>
        <v>2300</v>
      </c>
      <c r="K6" s="19">
        <f t="shared" si="0"/>
        <v>2200</v>
      </c>
    </row>
    <row r="7" spans="1:11" x14ac:dyDescent="0.2">
      <c r="A7" t="s">
        <v>71</v>
      </c>
      <c r="C7" s="19">
        <f>C33</f>
        <v>231</v>
      </c>
      <c r="D7" s="19">
        <f t="shared" ref="D7:K7" si="1">D33</f>
        <v>311</v>
      </c>
      <c r="E7" s="19">
        <f t="shared" si="1"/>
        <v>313</v>
      </c>
      <c r="F7" s="19">
        <f t="shared" si="1"/>
        <v>300</v>
      </c>
      <c r="G7" s="19">
        <f t="shared" si="1"/>
        <v>300</v>
      </c>
      <c r="H7" s="19">
        <f t="shared" si="1"/>
        <v>300</v>
      </c>
      <c r="I7" s="19">
        <f t="shared" si="1"/>
        <v>300</v>
      </c>
      <c r="J7" s="19">
        <f t="shared" si="1"/>
        <v>300</v>
      </c>
      <c r="K7" s="19">
        <f t="shared" si="1"/>
        <v>300</v>
      </c>
    </row>
    <row r="8" spans="1:11" x14ac:dyDescent="0.2">
      <c r="A8" t="s">
        <v>72</v>
      </c>
      <c r="C8" s="19">
        <f>C34</f>
        <v>103</v>
      </c>
      <c r="D8" s="19">
        <f t="shared" ref="D8:K8" si="2">D34</f>
        <v>87</v>
      </c>
      <c r="E8" s="19">
        <f t="shared" si="2"/>
        <v>51</v>
      </c>
      <c r="F8" s="19">
        <f t="shared" si="2"/>
        <v>45</v>
      </c>
      <c r="G8" s="19">
        <f t="shared" si="2"/>
        <v>40</v>
      </c>
      <c r="H8" s="19">
        <f t="shared" si="2"/>
        <v>35</v>
      </c>
      <c r="I8" s="19">
        <f t="shared" si="2"/>
        <v>30</v>
      </c>
      <c r="J8" s="19">
        <f t="shared" si="2"/>
        <v>25</v>
      </c>
      <c r="K8" s="19">
        <f t="shared" si="2"/>
        <v>20</v>
      </c>
    </row>
    <row r="9" spans="1:11" s="1" customFormat="1" x14ac:dyDescent="0.2">
      <c r="A9" s="1" t="s">
        <v>73</v>
      </c>
      <c r="C9" s="20">
        <f>SUM(C6:C8)</f>
        <v>2465</v>
      </c>
      <c r="D9" s="20">
        <f t="shared" ref="D9:K9" si="3">SUM(D6:D8)</f>
        <v>2371</v>
      </c>
      <c r="E9" s="20">
        <f t="shared" si="3"/>
        <v>2774</v>
      </c>
      <c r="F9" s="20">
        <f t="shared" si="3"/>
        <v>2845</v>
      </c>
      <c r="G9" s="20">
        <f t="shared" si="3"/>
        <v>3090</v>
      </c>
      <c r="H9" s="20">
        <f t="shared" si="3"/>
        <v>2835</v>
      </c>
      <c r="I9" s="20">
        <f t="shared" si="3"/>
        <v>2730</v>
      </c>
      <c r="J9" s="20">
        <f t="shared" si="3"/>
        <v>2625</v>
      </c>
      <c r="K9" s="20">
        <f t="shared" si="3"/>
        <v>2520</v>
      </c>
    </row>
    <row r="10" spans="1:11" x14ac:dyDescent="0.2">
      <c r="A10" s="34" t="s">
        <v>74</v>
      </c>
      <c r="C10" s="19">
        <f>C36</f>
        <v>512</v>
      </c>
      <c r="D10" s="19">
        <f t="shared" ref="D10:K10" si="4">D36</f>
        <v>618</v>
      </c>
      <c r="E10" s="19">
        <f t="shared" si="4"/>
        <v>712</v>
      </c>
      <c r="F10" s="19">
        <f t="shared" si="4"/>
        <v>850</v>
      </c>
      <c r="G10" s="19">
        <f t="shared" si="4"/>
        <v>1000</v>
      </c>
      <c r="H10" s="19">
        <f t="shared" si="4"/>
        <v>1050</v>
      </c>
      <c r="I10" s="19">
        <f t="shared" si="4"/>
        <v>1102.5</v>
      </c>
      <c r="J10" s="19">
        <f t="shared" si="4"/>
        <v>1157.625</v>
      </c>
      <c r="K10" s="19">
        <f t="shared" si="4"/>
        <v>1215.5062500000001</v>
      </c>
    </row>
    <row r="11" spans="1:11" x14ac:dyDescent="0.2">
      <c r="A11" s="34" t="s">
        <v>75</v>
      </c>
      <c r="C11" s="19">
        <f>C37</f>
        <v>351</v>
      </c>
      <c r="D11" s="19">
        <f t="shared" ref="D11:K11" si="5">D37</f>
        <v>461</v>
      </c>
      <c r="E11" s="19">
        <f t="shared" si="5"/>
        <v>218</v>
      </c>
      <c r="F11" s="19">
        <f t="shared" si="5"/>
        <v>250</v>
      </c>
      <c r="G11" s="19">
        <f t="shared" si="5"/>
        <v>262.5</v>
      </c>
      <c r="H11" s="19">
        <f t="shared" si="5"/>
        <v>275.625</v>
      </c>
      <c r="I11" s="19">
        <f t="shared" si="5"/>
        <v>289.40625</v>
      </c>
      <c r="J11" s="19">
        <f t="shared" si="5"/>
        <v>303.87656250000003</v>
      </c>
      <c r="K11" s="19">
        <f t="shared" si="5"/>
        <v>319.07039062500007</v>
      </c>
    </row>
    <row r="12" spans="1:11" x14ac:dyDescent="0.2">
      <c r="A12" s="34" t="s">
        <v>76</v>
      </c>
      <c r="C12" s="19">
        <f>-C46</f>
        <v>-241</v>
      </c>
      <c r="D12" s="19">
        <f t="shared" ref="D12:K12" si="6">-D46</f>
        <v>-319</v>
      </c>
      <c r="E12" s="19">
        <f t="shared" si="6"/>
        <v>-441</v>
      </c>
      <c r="F12" s="19">
        <f t="shared" si="6"/>
        <v>-425</v>
      </c>
      <c r="G12" s="19">
        <f t="shared" si="6"/>
        <v>-446.25</v>
      </c>
      <c r="H12" s="19">
        <f t="shared" si="6"/>
        <v>-468.5625</v>
      </c>
      <c r="I12" s="19">
        <f t="shared" si="6"/>
        <v>-491.99062500000002</v>
      </c>
      <c r="J12" s="19">
        <f t="shared" si="6"/>
        <v>-516.59015625000006</v>
      </c>
      <c r="K12" s="19">
        <f t="shared" si="6"/>
        <v>-542.41966406250015</v>
      </c>
    </row>
    <row r="13" spans="1:11" x14ac:dyDescent="0.2">
      <c r="A13" t="s">
        <v>77</v>
      </c>
      <c r="C13" s="19">
        <f>SUM(C10:C12)</f>
        <v>622</v>
      </c>
      <c r="D13" s="19">
        <f t="shared" ref="D13:K13" si="7">SUM(D10:D12)</f>
        <v>760</v>
      </c>
      <c r="E13" s="19">
        <f t="shared" si="7"/>
        <v>489</v>
      </c>
      <c r="F13" s="19">
        <f t="shared" si="7"/>
        <v>675</v>
      </c>
      <c r="G13" s="19">
        <f t="shared" si="7"/>
        <v>816.25</v>
      </c>
      <c r="H13" s="19">
        <f t="shared" si="7"/>
        <v>857.0625</v>
      </c>
      <c r="I13" s="19">
        <f t="shared" si="7"/>
        <v>899.91562499999998</v>
      </c>
      <c r="J13" s="19">
        <f t="shared" si="7"/>
        <v>944.91140625000003</v>
      </c>
      <c r="K13" s="19">
        <f t="shared" si="7"/>
        <v>992.15697656250006</v>
      </c>
    </row>
    <row r="14" spans="1:11" x14ac:dyDescent="0.2">
      <c r="A14" s="34" t="s">
        <v>78</v>
      </c>
      <c r="C14" s="19">
        <f>-C47</f>
        <v>-64</v>
      </c>
      <c r="D14" s="19">
        <f t="shared" ref="D14:K14" si="8">-D47</f>
        <v>-75</v>
      </c>
      <c r="E14" s="19">
        <f t="shared" si="8"/>
        <v>-84</v>
      </c>
      <c r="F14" s="19">
        <f t="shared" si="8"/>
        <v>-90</v>
      </c>
      <c r="G14" s="19">
        <f t="shared" si="8"/>
        <v>-90</v>
      </c>
      <c r="H14" s="19">
        <f t="shared" si="8"/>
        <v>-90</v>
      </c>
      <c r="I14" s="19">
        <f t="shared" si="8"/>
        <v>-90</v>
      </c>
      <c r="J14" s="19">
        <f t="shared" si="8"/>
        <v>-90</v>
      </c>
      <c r="K14" s="19">
        <f t="shared" si="8"/>
        <v>-90</v>
      </c>
    </row>
    <row r="15" spans="1:11" x14ac:dyDescent="0.2">
      <c r="A15" s="34" t="s">
        <v>80</v>
      </c>
      <c r="C15" s="19">
        <f>-C48</f>
        <v>-21</v>
      </c>
      <c r="D15" s="19">
        <f t="shared" ref="D15:K15" si="9">-D48</f>
        <v>-32</v>
      </c>
      <c r="E15" s="19">
        <f t="shared" si="9"/>
        <v>-27</v>
      </c>
      <c r="F15" s="19">
        <f t="shared" si="9"/>
        <v>-25</v>
      </c>
      <c r="G15" s="19">
        <f t="shared" si="9"/>
        <v>-25</v>
      </c>
      <c r="H15" s="19">
        <f t="shared" si="9"/>
        <v>-25</v>
      </c>
      <c r="I15" s="19">
        <f t="shared" si="9"/>
        <v>-25</v>
      </c>
      <c r="J15" s="19">
        <f t="shared" si="9"/>
        <v>-25</v>
      </c>
      <c r="K15" s="19">
        <f t="shared" si="9"/>
        <v>-25</v>
      </c>
    </row>
    <row r="16" spans="1:11" x14ac:dyDescent="0.2">
      <c r="A16" s="34" t="s">
        <v>79</v>
      </c>
      <c r="C16" s="19">
        <f>-C49</f>
        <v>-46</v>
      </c>
      <c r="D16" s="19">
        <f t="shared" ref="D16:K16" si="10">-D49</f>
        <v>-39</v>
      </c>
      <c r="E16" s="19">
        <f t="shared" si="10"/>
        <v>-41</v>
      </c>
      <c r="F16" s="19">
        <f t="shared" si="10"/>
        <v>-45</v>
      </c>
      <c r="G16" s="19">
        <f t="shared" si="10"/>
        <v>-45</v>
      </c>
      <c r="H16" s="19">
        <f t="shared" si="10"/>
        <v>-45</v>
      </c>
      <c r="I16" s="19">
        <f t="shared" si="10"/>
        <v>-45</v>
      </c>
      <c r="J16" s="19">
        <f t="shared" si="10"/>
        <v>-45</v>
      </c>
      <c r="K16" s="19">
        <f t="shared" si="10"/>
        <v>-45</v>
      </c>
    </row>
    <row r="17" spans="1:24" x14ac:dyDescent="0.2">
      <c r="A17" s="34" t="s">
        <v>81</v>
      </c>
      <c r="C17" s="19">
        <f>-C50</f>
        <v>-210</v>
      </c>
      <c r="D17" s="19">
        <f t="shared" ref="D17:K17" si="11">-D50</f>
        <v>-303</v>
      </c>
      <c r="E17" s="19">
        <f t="shared" si="11"/>
        <v>-231</v>
      </c>
      <c r="F17" s="19">
        <f t="shared" si="11"/>
        <v>-100</v>
      </c>
      <c r="G17" s="19">
        <f t="shared" si="11"/>
        <v>-100</v>
      </c>
      <c r="H17" s="19">
        <f t="shared" si="11"/>
        <v>-100</v>
      </c>
      <c r="I17" s="19">
        <f t="shared" si="11"/>
        <v>-100</v>
      </c>
      <c r="J17" s="19">
        <f t="shared" si="11"/>
        <v>-100</v>
      </c>
      <c r="K17" s="19">
        <f t="shared" si="11"/>
        <v>-100</v>
      </c>
    </row>
    <row r="18" spans="1:24" x14ac:dyDescent="0.2">
      <c r="A18" s="34" t="s">
        <v>82</v>
      </c>
      <c r="C18" s="19">
        <f>C38</f>
        <v>103</v>
      </c>
      <c r="D18" s="19">
        <f t="shared" ref="D18:K18" si="12">D38</f>
        <v>173</v>
      </c>
      <c r="E18" s="19">
        <f t="shared" si="12"/>
        <v>219</v>
      </c>
      <c r="F18" s="19">
        <f t="shared" si="12"/>
        <v>100</v>
      </c>
      <c r="G18" s="19">
        <f t="shared" si="12"/>
        <v>100</v>
      </c>
      <c r="H18" s="19">
        <f t="shared" si="12"/>
        <v>100</v>
      </c>
      <c r="I18" s="19">
        <f t="shared" si="12"/>
        <v>100</v>
      </c>
      <c r="J18" s="19">
        <f t="shared" si="12"/>
        <v>100</v>
      </c>
      <c r="K18" s="19">
        <f t="shared" si="12"/>
        <v>100</v>
      </c>
      <c r="N18" s="19"/>
    </row>
    <row r="19" spans="1:24" x14ac:dyDescent="0.2">
      <c r="A19" s="10" t="s">
        <v>83</v>
      </c>
      <c r="B19" s="13"/>
      <c r="C19" s="20">
        <f>SUM(C13:C18)</f>
        <v>384</v>
      </c>
      <c r="D19" s="20">
        <f t="shared" ref="D19:K19" si="13">SUM(D13:D18)</f>
        <v>484</v>
      </c>
      <c r="E19" s="20">
        <f t="shared" si="13"/>
        <v>325</v>
      </c>
      <c r="F19" s="20">
        <f t="shared" si="13"/>
        <v>515</v>
      </c>
      <c r="G19" s="20">
        <f t="shared" si="13"/>
        <v>656.25</v>
      </c>
      <c r="H19" s="20">
        <f t="shared" si="13"/>
        <v>697.0625</v>
      </c>
      <c r="I19" s="20">
        <f t="shared" si="13"/>
        <v>739.91562499999998</v>
      </c>
      <c r="J19" s="20">
        <f t="shared" si="13"/>
        <v>784.91140625000003</v>
      </c>
      <c r="K19" s="20">
        <f t="shared" si="13"/>
        <v>832.15697656250006</v>
      </c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</row>
    <row r="20" spans="1:24" x14ac:dyDescent="0.2">
      <c r="A20" s="39" t="s">
        <v>86</v>
      </c>
      <c r="B20" s="39"/>
      <c r="C20" s="37">
        <f>SUM(C9,C19)</f>
        <v>2849</v>
      </c>
      <c r="D20" s="37">
        <f t="shared" ref="D20:K20" si="14">SUM(D9,D19)</f>
        <v>2855</v>
      </c>
      <c r="E20" s="37">
        <f t="shared" si="14"/>
        <v>3099</v>
      </c>
      <c r="F20" s="37">
        <f t="shared" si="14"/>
        <v>3360</v>
      </c>
      <c r="G20" s="37">
        <f t="shared" si="14"/>
        <v>3746.25</v>
      </c>
      <c r="H20" s="37">
        <f t="shared" si="14"/>
        <v>3532.0625</v>
      </c>
      <c r="I20" s="37">
        <f t="shared" si="14"/>
        <v>3469.9156250000001</v>
      </c>
      <c r="J20" s="37">
        <f t="shared" si="14"/>
        <v>3409.9114062500003</v>
      </c>
      <c r="K20" s="37">
        <f t="shared" si="14"/>
        <v>3352.1569765624999</v>
      </c>
    </row>
    <row r="21" spans="1:24" x14ac:dyDescent="0.2">
      <c r="A21" t="s">
        <v>84</v>
      </c>
      <c r="C21" s="19">
        <f>-C42</f>
        <v>-2394</v>
      </c>
      <c r="D21" s="19">
        <f t="shared" ref="D21:K21" si="15">-D42</f>
        <v>-2375</v>
      </c>
      <c r="E21" s="19">
        <f t="shared" si="15"/>
        <v>-2925</v>
      </c>
      <c r="F21" s="19">
        <f t="shared" si="15"/>
        <v>-3542.4450000000002</v>
      </c>
      <c r="G21" s="19">
        <f t="shared" si="15"/>
        <v>-4524.5519062500007</v>
      </c>
      <c r="H21" s="19">
        <f t="shared" si="15"/>
        <v>-5558.4041578125007</v>
      </c>
      <c r="I21" s="19">
        <f t="shared" si="15"/>
        <v>-6689.9185469531267</v>
      </c>
      <c r="J21" s="19">
        <f t="shared" si="15"/>
        <v>-7984.1847508007831</v>
      </c>
      <c r="K21" s="19">
        <f t="shared" si="15"/>
        <v>-9450.4864960433224</v>
      </c>
    </row>
    <row r="22" spans="1:24" x14ac:dyDescent="0.2">
      <c r="A22" t="s">
        <v>87</v>
      </c>
      <c r="C22" s="19">
        <f>-C43</f>
        <v>-123</v>
      </c>
      <c r="D22" s="19">
        <f t="shared" ref="D22:K22" si="16">-D43</f>
        <v>-281</v>
      </c>
      <c r="E22" s="19">
        <f t="shared" si="16"/>
        <v>-116</v>
      </c>
      <c r="F22" s="19">
        <f t="shared" si="16"/>
        <v>-100</v>
      </c>
      <c r="G22" s="19">
        <f t="shared" si="16"/>
        <v>-100</v>
      </c>
      <c r="H22" s="19">
        <f t="shared" si="16"/>
        <v>-100</v>
      </c>
      <c r="I22" s="19">
        <f t="shared" si="16"/>
        <v>-100</v>
      </c>
      <c r="J22" s="19">
        <f t="shared" si="16"/>
        <v>-100</v>
      </c>
      <c r="K22" s="19">
        <f t="shared" si="16"/>
        <v>-100</v>
      </c>
    </row>
    <row r="23" spans="1:24" x14ac:dyDescent="0.2">
      <c r="A23" t="s">
        <v>89</v>
      </c>
      <c r="C23" s="19">
        <f>-C44</f>
        <v>-351</v>
      </c>
      <c r="D23" s="19">
        <f t="shared" ref="D23:K23" si="17">-D44</f>
        <v>-512</v>
      </c>
      <c r="E23" s="19">
        <f t="shared" si="17"/>
        <v>-419</v>
      </c>
      <c r="F23" s="19">
        <f t="shared" si="17"/>
        <v>-400</v>
      </c>
      <c r="G23" s="19">
        <f t="shared" si="17"/>
        <v>-300</v>
      </c>
      <c r="H23" s="19">
        <f t="shared" si="17"/>
        <v>-200</v>
      </c>
      <c r="I23" s="19">
        <f t="shared" si="17"/>
        <v>-100</v>
      </c>
      <c r="J23" s="19">
        <f t="shared" si="17"/>
        <v>0</v>
      </c>
      <c r="K23" s="19">
        <f t="shared" si="17"/>
        <v>0</v>
      </c>
    </row>
    <row r="24" spans="1:24" x14ac:dyDescent="0.2">
      <c r="A24" s="13" t="s">
        <v>88</v>
      </c>
      <c r="B24" s="13"/>
      <c r="C24" s="19">
        <f>C39</f>
        <v>19</v>
      </c>
      <c r="D24" s="19">
        <f t="shared" ref="D24:K24" si="18">D39</f>
        <v>313</v>
      </c>
      <c r="E24" s="19">
        <f t="shared" si="18"/>
        <v>361</v>
      </c>
      <c r="F24" s="19">
        <f t="shared" si="18"/>
        <v>682</v>
      </c>
      <c r="G24" s="19">
        <f t="shared" si="18"/>
        <v>1178</v>
      </c>
      <c r="H24" s="19">
        <f t="shared" si="18"/>
        <v>2326</v>
      </c>
      <c r="I24" s="19">
        <f t="shared" si="18"/>
        <v>3420</v>
      </c>
      <c r="J24" s="19">
        <f t="shared" si="18"/>
        <v>4674</v>
      </c>
      <c r="K24" s="19">
        <f t="shared" si="18"/>
        <v>6198</v>
      </c>
    </row>
    <row r="25" spans="1:24" x14ac:dyDescent="0.2">
      <c r="A25" s="36" t="s">
        <v>85</v>
      </c>
      <c r="B25" s="36"/>
      <c r="C25" s="37">
        <f>SUM(C21:C24)</f>
        <v>-2849</v>
      </c>
      <c r="D25" s="37">
        <f t="shared" ref="D25:K25" si="19">SUM(D21:D24)</f>
        <v>-2855</v>
      </c>
      <c r="E25" s="37">
        <f t="shared" si="19"/>
        <v>-3099</v>
      </c>
      <c r="F25" s="37">
        <f t="shared" si="19"/>
        <v>-3360.4450000000002</v>
      </c>
      <c r="G25" s="37">
        <f t="shared" si="19"/>
        <v>-3746.5519062500007</v>
      </c>
      <c r="H25" s="37">
        <f t="shared" si="19"/>
        <v>-3532.4041578125007</v>
      </c>
      <c r="I25" s="37">
        <f t="shared" si="19"/>
        <v>-3469.9185469531267</v>
      </c>
      <c r="J25" s="37">
        <f t="shared" si="19"/>
        <v>-3410.1847508007831</v>
      </c>
      <c r="K25" s="37">
        <f t="shared" si="19"/>
        <v>-3352.4864960433224</v>
      </c>
    </row>
    <row r="26" spans="1:24" x14ac:dyDescent="0.2">
      <c r="A26" s="16" t="str">
        <f>A2&amp;" - "&amp;A1</f>
        <v>Forecast section - Balance sheet Dec19 - Dec25</v>
      </c>
    </row>
    <row r="27" spans="1:24" x14ac:dyDescent="0.2">
      <c r="A27" s="16" t="s">
        <v>241</v>
      </c>
    </row>
    <row r="30" spans="1:24" x14ac:dyDescent="0.2">
      <c r="A30" s="1" t="s">
        <v>240</v>
      </c>
    </row>
    <row r="31" spans="1:24" x14ac:dyDescent="0.2">
      <c r="A31" s="28" t="s">
        <v>39</v>
      </c>
      <c r="B31" s="50" t="s">
        <v>40</v>
      </c>
      <c r="C31" s="33" t="s">
        <v>231</v>
      </c>
      <c r="D31" s="33" t="s">
        <v>232</v>
      </c>
      <c r="E31" s="33" t="s">
        <v>233</v>
      </c>
      <c r="F31" s="33" t="s">
        <v>234</v>
      </c>
      <c r="G31" s="33" t="s">
        <v>235</v>
      </c>
      <c r="H31" s="33" t="s">
        <v>236</v>
      </c>
      <c r="I31" s="33" t="s">
        <v>237</v>
      </c>
      <c r="J31" s="33" t="s">
        <v>238</v>
      </c>
      <c r="K31" s="33" t="s">
        <v>239</v>
      </c>
    </row>
    <row r="32" spans="1:24" x14ac:dyDescent="0.2">
      <c r="A32" t="s">
        <v>70</v>
      </c>
      <c r="C32" s="19">
        <v>2131</v>
      </c>
      <c r="D32" s="19">
        <v>1973</v>
      </c>
      <c r="E32" s="19">
        <v>2410</v>
      </c>
      <c r="F32" s="19">
        <v>2500</v>
      </c>
      <c r="G32" s="19">
        <v>2750</v>
      </c>
      <c r="H32" s="19">
        <v>2500</v>
      </c>
      <c r="I32" s="19">
        <v>2400</v>
      </c>
      <c r="J32" s="19">
        <v>2300</v>
      </c>
      <c r="K32" s="19">
        <v>2200</v>
      </c>
    </row>
    <row r="33" spans="1:11" x14ac:dyDescent="0.2">
      <c r="A33" t="s">
        <v>71</v>
      </c>
      <c r="C33" s="19">
        <v>231</v>
      </c>
      <c r="D33" s="19">
        <v>311</v>
      </c>
      <c r="E33" s="19">
        <v>313</v>
      </c>
      <c r="F33" s="19">
        <v>300</v>
      </c>
      <c r="G33" s="19">
        <v>300</v>
      </c>
      <c r="H33" s="19">
        <v>300</v>
      </c>
      <c r="I33" s="19">
        <v>300</v>
      </c>
      <c r="J33" s="19">
        <v>300</v>
      </c>
      <c r="K33" s="19">
        <v>300</v>
      </c>
    </row>
    <row r="34" spans="1:11" x14ac:dyDescent="0.2">
      <c r="A34" t="s">
        <v>72</v>
      </c>
      <c r="C34" s="19">
        <v>103</v>
      </c>
      <c r="D34" s="19">
        <v>87</v>
      </c>
      <c r="E34" s="19">
        <v>51</v>
      </c>
      <c r="F34" s="19">
        <v>45</v>
      </c>
      <c r="G34" s="19">
        <v>40</v>
      </c>
      <c r="H34" s="19">
        <v>35</v>
      </c>
      <c r="I34" s="19">
        <v>30</v>
      </c>
      <c r="J34" s="19">
        <v>25</v>
      </c>
      <c r="K34" s="19">
        <v>20</v>
      </c>
    </row>
    <row r="35" spans="1:11" x14ac:dyDescent="0.2">
      <c r="A35" s="42" t="s">
        <v>73</v>
      </c>
      <c r="B35" s="1"/>
      <c r="C35" s="20">
        <f>SUM(C32:C34)</f>
        <v>2465</v>
      </c>
      <c r="D35" s="20">
        <f>SUM(D32:D34)</f>
        <v>2371</v>
      </c>
      <c r="E35" s="20">
        <f>SUM(E32:E34)</f>
        <v>2774</v>
      </c>
      <c r="F35" s="20">
        <f t="shared" ref="F35:K35" si="20">SUM(F32:F34)</f>
        <v>2845</v>
      </c>
      <c r="G35" s="20">
        <f t="shared" si="20"/>
        <v>3090</v>
      </c>
      <c r="H35" s="20">
        <f t="shared" si="20"/>
        <v>2835</v>
      </c>
      <c r="I35" s="20">
        <f t="shared" si="20"/>
        <v>2730</v>
      </c>
      <c r="J35" s="20">
        <f t="shared" si="20"/>
        <v>2625</v>
      </c>
      <c r="K35" s="20">
        <f t="shared" si="20"/>
        <v>2520</v>
      </c>
    </row>
    <row r="36" spans="1:11" x14ac:dyDescent="0.2">
      <c r="A36" s="43" t="s">
        <v>74</v>
      </c>
      <c r="C36" s="19">
        <v>512</v>
      </c>
      <c r="D36" s="19">
        <v>618</v>
      </c>
      <c r="E36" s="19">
        <v>712</v>
      </c>
      <c r="F36" s="19">
        <v>850</v>
      </c>
      <c r="G36" s="19">
        <v>1000</v>
      </c>
      <c r="H36" s="19">
        <v>1050</v>
      </c>
      <c r="I36" s="19">
        <v>1102.5</v>
      </c>
      <c r="J36" s="19">
        <v>1157.625</v>
      </c>
      <c r="K36" s="19">
        <v>1215.5062500000001</v>
      </c>
    </row>
    <row r="37" spans="1:11" x14ac:dyDescent="0.2">
      <c r="A37" s="40" t="s">
        <v>75</v>
      </c>
      <c r="C37" s="19">
        <v>351</v>
      </c>
      <c r="D37" s="19">
        <v>461</v>
      </c>
      <c r="E37" s="19">
        <v>218</v>
      </c>
      <c r="F37" s="19">
        <v>250</v>
      </c>
      <c r="G37" s="19">
        <v>262.5</v>
      </c>
      <c r="H37" s="19">
        <v>275.625</v>
      </c>
      <c r="I37" s="19">
        <v>289.40625</v>
      </c>
      <c r="J37" s="19">
        <v>303.87656250000003</v>
      </c>
      <c r="K37" s="19">
        <v>319.07039062500007</v>
      </c>
    </row>
    <row r="38" spans="1:11" x14ac:dyDescent="0.2">
      <c r="A38" s="40" t="s">
        <v>82</v>
      </c>
      <c r="C38" s="19">
        <v>103</v>
      </c>
      <c r="D38" s="19">
        <v>173</v>
      </c>
      <c r="E38" s="19">
        <v>219</v>
      </c>
      <c r="F38" s="19">
        <v>100</v>
      </c>
      <c r="G38" s="19">
        <v>100</v>
      </c>
      <c r="H38" s="19">
        <v>100</v>
      </c>
      <c r="I38" s="19">
        <v>100</v>
      </c>
      <c r="J38" s="19">
        <v>100</v>
      </c>
      <c r="K38" s="19">
        <v>100</v>
      </c>
    </row>
    <row r="39" spans="1:11" x14ac:dyDescent="0.2">
      <c r="A39" s="35" t="s">
        <v>88</v>
      </c>
      <c r="B39" s="35"/>
      <c r="C39" s="19">
        <v>19</v>
      </c>
      <c r="D39" s="19">
        <v>313</v>
      </c>
      <c r="E39" s="19">
        <v>361</v>
      </c>
      <c r="F39" s="19">
        <v>682</v>
      </c>
      <c r="G39" s="19">
        <v>1178</v>
      </c>
      <c r="H39" s="19">
        <v>2326</v>
      </c>
      <c r="I39" s="19">
        <v>3420</v>
      </c>
      <c r="J39" s="19">
        <v>4674</v>
      </c>
      <c r="K39" s="19">
        <v>6198</v>
      </c>
    </row>
    <row r="40" spans="1:11" x14ac:dyDescent="0.2">
      <c r="A40" s="10" t="s">
        <v>91</v>
      </c>
      <c r="B40" s="13"/>
      <c r="C40" s="20">
        <f>SUM(C36:C39)</f>
        <v>985</v>
      </c>
      <c r="D40" s="20">
        <f>SUM(D36:D39)</f>
        <v>1565</v>
      </c>
      <c r="E40" s="20">
        <f>SUM(E36:E39)</f>
        <v>1510</v>
      </c>
      <c r="F40" s="20">
        <f t="shared" ref="F40:K40" si="21">SUM(F36:F39)</f>
        <v>1882</v>
      </c>
      <c r="G40" s="20">
        <f t="shared" si="21"/>
        <v>2540.5</v>
      </c>
      <c r="H40" s="20">
        <f t="shared" si="21"/>
        <v>3751.625</v>
      </c>
      <c r="I40" s="20">
        <f t="shared" si="21"/>
        <v>4911.90625</v>
      </c>
      <c r="J40" s="20">
        <f t="shared" si="21"/>
        <v>6235.5015624999996</v>
      </c>
      <c r="K40" s="20">
        <f t="shared" si="21"/>
        <v>7832.5766406250004</v>
      </c>
    </row>
    <row r="41" spans="1:11" x14ac:dyDescent="0.2">
      <c r="A41" s="39" t="s">
        <v>90</v>
      </c>
      <c r="B41" s="39"/>
      <c r="C41" s="37">
        <f>SUM(C35,C40)</f>
        <v>3450</v>
      </c>
      <c r="D41" s="37">
        <f>SUM(D35,D40)</f>
        <v>3936</v>
      </c>
      <c r="E41" s="37">
        <f>SUM(E35,E40)</f>
        <v>4284</v>
      </c>
      <c r="F41" s="37">
        <f t="shared" ref="F41:K41" si="22">SUM(F35,F40)</f>
        <v>4727</v>
      </c>
      <c r="G41" s="37">
        <f t="shared" si="22"/>
        <v>5630.5</v>
      </c>
      <c r="H41" s="37">
        <f t="shared" si="22"/>
        <v>6586.625</v>
      </c>
      <c r="I41" s="37">
        <f t="shared" si="22"/>
        <v>7641.90625</v>
      </c>
      <c r="J41" s="37">
        <f t="shared" si="22"/>
        <v>8860.5015624999996</v>
      </c>
      <c r="K41" s="37">
        <f t="shared" si="22"/>
        <v>10352.576640625</v>
      </c>
    </row>
    <row r="42" spans="1:11" x14ac:dyDescent="0.2">
      <c r="A42" s="41" t="s">
        <v>84</v>
      </c>
      <c r="B42" s="1"/>
      <c r="C42" s="20">
        <v>2394</v>
      </c>
      <c r="D42" s="20">
        <v>2375</v>
      </c>
      <c r="E42" s="20">
        <v>2925</v>
      </c>
      <c r="F42" s="20">
        <v>3542.4450000000002</v>
      </c>
      <c r="G42" s="20">
        <v>4524.5519062500007</v>
      </c>
      <c r="H42" s="20">
        <v>5558.4041578125007</v>
      </c>
      <c r="I42" s="20">
        <v>6689.9185469531267</v>
      </c>
      <c r="J42" s="20">
        <v>7984.1847508007831</v>
      </c>
      <c r="K42" s="20">
        <v>9450.4864960433224</v>
      </c>
    </row>
    <row r="43" spans="1:11" x14ac:dyDescent="0.2">
      <c r="A43" t="s">
        <v>87</v>
      </c>
      <c r="C43" s="19">
        <v>123</v>
      </c>
      <c r="D43" s="19">
        <v>281</v>
      </c>
      <c r="E43" s="19">
        <v>116</v>
      </c>
      <c r="F43" s="19">
        <v>100</v>
      </c>
      <c r="G43" s="19">
        <v>100</v>
      </c>
      <c r="H43" s="19">
        <v>100</v>
      </c>
      <c r="I43" s="19">
        <v>100</v>
      </c>
      <c r="J43" s="19">
        <v>100</v>
      </c>
      <c r="K43" s="19">
        <v>100</v>
      </c>
    </row>
    <row r="44" spans="1:11" x14ac:dyDescent="0.2">
      <c r="A44" t="s">
        <v>89</v>
      </c>
      <c r="C44" s="19">
        <v>351</v>
      </c>
      <c r="D44" s="19">
        <v>512</v>
      </c>
      <c r="E44" s="19">
        <v>419</v>
      </c>
      <c r="F44" s="19">
        <v>400</v>
      </c>
      <c r="G44" s="19">
        <v>300</v>
      </c>
      <c r="H44" s="19">
        <v>200</v>
      </c>
      <c r="I44" s="19">
        <v>100</v>
      </c>
      <c r="J44" s="19">
        <v>0</v>
      </c>
      <c r="K44" s="19">
        <v>0</v>
      </c>
    </row>
    <row r="45" spans="1:11" x14ac:dyDescent="0.2">
      <c r="A45" s="1" t="s">
        <v>92</v>
      </c>
      <c r="B45" s="1"/>
      <c r="C45" s="20">
        <f>SUM(C43:C44)</f>
        <v>474</v>
      </c>
      <c r="D45" s="20">
        <f>SUM(D43:D44)</f>
        <v>793</v>
      </c>
      <c r="E45" s="20">
        <f>SUM(E43:E44)</f>
        <v>535</v>
      </c>
      <c r="F45" s="20">
        <f t="shared" ref="F45:K45" si="23">SUM(F43:F44)</f>
        <v>500</v>
      </c>
      <c r="G45" s="20">
        <f t="shared" si="23"/>
        <v>400</v>
      </c>
      <c r="H45" s="20">
        <f t="shared" si="23"/>
        <v>300</v>
      </c>
      <c r="I45" s="20">
        <f t="shared" si="23"/>
        <v>200</v>
      </c>
      <c r="J45" s="20">
        <f t="shared" si="23"/>
        <v>100</v>
      </c>
      <c r="K45" s="20">
        <f t="shared" si="23"/>
        <v>100</v>
      </c>
    </row>
    <row r="46" spans="1:11" x14ac:dyDescent="0.2">
      <c r="A46" t="s">
        <v>76</v>
      </c>
      <c r="C46" s="19">
        <v>241</v>
      </c>
      <c r="D46" s="19">
        <v>319</v>
      </c>
      <c r="E46" s="19">
        <v>441</v>
      </c>
      <c r="F46" s="19">
        <v>425</v>
      </c>
      <c r="G46" s="19">
        <v>446.25</v>
      </c>
      <c r="H46" s="19">
        <v>468.5625</v>
      </c>
      <c r="I46" s="19">
        <v>491.99062500000002</v>
      </c>
      <c r="J46" s="19">
        <v>516.59015625000006</v>
      </c>
      <c r="K46" s="19">
        <v>542.41966406250015</v>
      </c>
    </row>
    <row r="47" spans="1:11" x14ac:dyDescent="0.2">
      <c r="A47" t="s">
        <v>78</v>
      </c>
      <c r="C47" s="19">
        <v>64</v>
      </c>
      <c r="D47" s="19">
        <v>75</v>
      </c>
      <c r="E47" s="19">
        <v>84</v>
      </c>
      <c r="F47" s="19">
        <v>90</v>
      </c>
      <c r="G47" s="19">
        <v>90</v>
      </c>
      <c r="H47" s="19">
        <v>90</v>
      </c>
      <c r="I47" s="19">
        <v>90</v>
      </c>
      <c r="J47" s="19">
        <v>90</v>
      </c>
      <c r="K47" s="19">
        <v>90</v>
      </c>
    </row>
    <row r="48" spans="1:11" x14ac:dyDescent="0.2">
      <c r="A48" t="s">
        <v>80</v>
      </c>
      <c r="C48" s="19">
        <v>21</v>
      </c>
      <c r="D48" s="19">
        <v>32</v>
      </c>
      <c r="E48" s="19">
        <v>27</v>
      </c>
      <c r="F48" s="19">
        <v>25</v>
      </c>
      <c r="G48" s="19">
        <v>25</v>
      </c>
      <c r="H48" s="19">
        <v>25</v>
      </c>
      <c r="I48" s="19">
        <v>25</v>
      </c>
      <c r="J48" s="19">
        <v>25</v>
      </c>
      <c r="K48" s="19">
        <v>25</v>
      </c>
    </row>
    <row r="49" spans="1:11" x14ac:dyDescent="0.2">
      <c r="A49" t="s">
        <v>79</v>
      </c>
      <c r="C49" s="19">
        <v>46</v>
      </c>
      <c r="D49" s="19">
        <v>39</v>
      </c>
      <c r="E49" s="19">
        <v>41</v>
      </c>
      <c r="F49" s="19">
        <v>45</v>
      </c>
      <c r="G49" s="19">
        <v>45</v>
      </c>
      <c r="H49" s="19">
        <v>45</v>
      </c>
      <c r="I49" s="19">
        <v>45</v>
      </c>
      <c r="J49" s="19">
        <v>45</v>
      </c>
      <c r="K49" s="19">
        <v>45</v>
      </c>
    </row>
    <row r="50" spans="1:11" x14ac:dyDescent="0.2">
      <c r="A50" t="s">
        <v>81</v>
      </c>
      <c r="C50" s="19">
        <v>210</v>
      </c>
      <c r="D50" s="19">
        <v>303</v>
      </c>
      <c r="E50" s="19">
        <v>231</v>
      </c>
      <c r="F50" s="19">
        <v>100</v>
      </c>
      <c r="G50" s="19">
        <v>100</v>
      </c>
      <c r="H50" s="19">
        <v>100</v>
      </c>
      <c r="I50" s="19">
        <v>100</v>
      </c>
      <c r="J50" s="19">
        <v>100</v>
      </c>
      <c r="K50" s="19">
        <v>100</v>
      </c>
    </row>
    <row r="51" spans="1:11" x14ac:dyDescent="0.2">
      <c r="A51" s="10" t="s">
        <v>93</v>
      </c>
      <c r="B51" s="10"/>
      <c r="C51" s="20">
        <f>SUM(C46:C50)</f>
        <v>582</v>
      </c>
      <c r="D51" s="20">
        <f>SUM(D46:D50)</f>
        <v>768</v>
      </c>
      <c r="E51" s="20">
        <f>SUM(E46:E50)</f>
        <v>824</v>
      </c>
      <c r="F51" s="20">
        <f t="shared" ref="F51:K51" si="24">SUM(F46:F50)</f>
        <v>685</v>
      </c>
      <c r="G51" s="20">
        <f t="shared" si="24"/>
        <v>706.25</v>
      </c>
      <c r="H51" s="20">
        <f t="shared" si="24"/>
        <v>728.5625</v>
      </c>
      <c r="I51" s="20">
        <f t="shared" si="24"/>
        <v>751.99062500000002</v>
      </c>
      <c r="J51" s="20">
        <f t="shared" si="24"/>
        <v>776.59015625000006</v>
      </c>
      <c r="K51" s="20">
        <f t="shared" si="24"/>
        <v>802.41966406250015</v>
      </c>
    </row>
    <row r="52" spans="1:11" x14ac:dyDescent="0.2">
      <c r="A52" s="36" t="s">
        <v>94</v>
      </c>
      <c r="B52" s="36"/>
      <c r="C52" s="37">
        <f>SUM(C42,C45,C51)</f>
        <v>3450</v>
      </c>
      <c r="D52" s="37">
        <f>SUM(D42,D45,D51)</f>
        <v>3936</v>
      </c>
      <c r="E52" s="37">
        <f>SUM(E42,E45,E51)</f>
        <v>4284</v>
      </c>
      <c r="F52" s="37">
        <f t="shared" ref="F52:K52" si="25">SUM(F42,F45,F51)</f>
        <v>4727.4449999999997</v>
      </c>
      <c r="G52" s="37">
        <f t="shared" si="25"/>
        <v>5630.8019062500007</v>
      </c>
      <c r="H52" s="37">
        <f t="shared" si="25"/>
        <v>6586.9666578125007</v>
      </c>
      <c r="I52" s="37">
        <f t="shared" si="25"/>
        <v>7641.909171953127</v>
      </c>
      <c r="J52" s="37">
        <f t="shared" si="25"/>
        <v>8860.7749070507834</v>
      </c>
      <c r="K52" s="37">
        <f t="shared" si="25"/>
        <v>10352.906160105822</v>
      </c>
    </row>
    <row r="53" spans="1:11" x14ac:dyDescent="0.2">
      <c r="A53" s="16" t="str">
        <f>A2&amp;" - "&amp;A1</f>
        <v>Forecast section - Balance sheet Dec19 - Dec25</v>
      </c>
      <c r="C53" s="44"/>
      <c r="D53" s="44"/>
      <c r="E53" s="44"/>
      <c r="F53" s="44"/>
      <c r="G53" s="44"/>
      <c r="H53" s="44"/>
      <c r="I53" s="44"/>
      <c r="J53" s="44"/>
      <c r="K53" s="44"/>
    </row>
    <row r="54" spans="1:11" x14ac:dyDescent="0.2">
      <c r="A54" s="16" t="s">
        <v>241</v>
      </c>
    </row>
  </sheetData>
  <hyperlinks>
    <hyperlink ref="A3" location="Contents!A1" display="Back to: Table of contents" xr:uid="{66B55923-D585-6446-B509-ABDDBE320304}"/>
  </hyperlinks>
  <pageMargins left="0.70866141732283472" right="0.70866141732283472" top="1.3385826771653544" bottom="0.74803149606299213" header="0.31496062992125984" footer="0.31496062992125984"/>
  <pageSetup paperSize="9" scale="95" fitToHeight="2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rowBreaks count="1" manualBreakCount="1">
    <brk id="29" max="10" man="1"/>
  </rowBreaks>
  <legacyDrawingHF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9E659-7906-7541-8F6E-366830AD3282}">
  <sheetPr>
    <tabColor rgb="FF00B0F0"/>
    <pageSetUpPr fitToPage="1"/>
  </sheetPr>
  <dimension ref="A1:K15"/>
  <sheetViews>
    <sheetView showGridLines="0" workbookViewId="0">
      <selection activeCell="B14" sqref="B14"/>
    </sheetView>
  </sheetViews>
  <sheetFormatPr baseColWidth="10" defaultRowHeight="16" x14ac:dyDescent="0.2"/>
  <cols>
    <col min="1" max="1" width="25.83203125" customWidth="1"/>
    <col min="2" max="2" width="5.1640625" customWidth="1"/>
  </cols>
  <sheetData>
    <row r="1" spans="1:11" ht="21" x14ac:dyDescent="0.25">
      <c r="A1" s="8" t="s">
        <v>187</v>
      </c>
    </row>
    <row r="2" spans="1:11" ht="19" x14ac:dyDescent="0.25">
      <c r="A2" s="9" t="s">
        <v>27</v>
      </c>
    </row>
    <row r="3" spans="1:11" x14ac:dyDescent="0.2">
      <c r="A3" s="47" t="s">
        <v>101</v>
      </c>
    </row>
    <row r="4" spans="1:11" x14ac:dyDescent="0.2">
      <c r="A4" s="13"/>
      <c r="B4" s="13"/>
      <c r="C4" s="13"/>
      <c r="D4" s="13"/>
      <c r="E4" s="13"/>
    </row>
    <row r="5" spans="1:11" x14ac:dyDescent="0.2">
      <c r="A5" s="28" t="s">
        <v>39</v>
      </c>
      <c r="B5" s="50" t="s">
        <v>40</v>
      </c>
      <c r="C5" s="33" t="s">
        <v>228</v>
      </c>
      <c r="D5" s="33" t="s">
        <v>229</v>
      </c>
      <c r="E5" s="33" t="s">
        <v>230</v>
      </c>
      <c r="F5" s="33" t="s">
        <v>222</v>
      </c>
      <c r="G5" s="33" t="s">
        <v>223</v>
      </c>
      <c r="H5" s="33" t="s">
        <v>224</v>
      </c>
      <c r="I5" s="33" t="s">
        <v>225</v>
      </c>
      <c r="J5" s="33" t="s">
        <v>226</v>
      </c>
      <c r="K5" s="33" t="s">
        <v>227</v>
      </c>
    </row>
    <row r="6" spans="1:11" s="1" customFormat="1" x14ac:dyDescent="0.2">
      <c r="A6" s="1" t="s">
        <v>64</v>
      </c>
      <c r="C6" s="20">
        <f>'FC1'!C15</f>
        <v>523</v>
      </c>
      <c r="D6" s="20">
        <f>'FC1'!D15</f>
        <v>597</v>
      </c>
      <c r="E6" s="20">
        <f>'FC1'!E15</f>
        <v>1131</v>
      </c>
      <c r="F6" s="20">
        <f>'FC1'!F15</f>
        <v>1273.2600000000002</v>
      </c>
      <c r="G6" s="20">
        <f>'FC1'!G15</f>
        <v>1759.4758750000001</v>
      </c>
      <c r="H6" s="20">
        <f>'FC1'!H15</f>
        <v>1828.46966875</v>
      </c>
      <c r="I6" s="20">
        <f>'FC1'!I15</f>
        <v>1958.685852187501</v>
      </c>
      <c r="J6" s="20">
        <f>'FC1'!J15</f>
        <v>2175.6882717968756</v>
      </c>
      <c r="K6" s="20">
        <f>'FC1'!K15</f>
        <v>2405.0689936567201</v>
      </c>
    </row>
    <row r="7" spans="1:11" x14ac:dyDescent="0.2">
      <c r="A7" t="s">
        <v>95</v>
      </c>
      <c r="C7" s="19">
        <v>-196</v>
      </c>
      <c r="D7" s="19">
        <v>-182</v>
      </c>
      <c r="E7" s="19">
        <v>-810</v>
      </c>
      <c r="F7" s="19">
        <v>-750</v>
      </c>
      <c r="G7" s="19">
        <v>-500</v>
      </c>
      <c r="H7" s="19">
        <v>-400</v>
      </c>
      <c r="I7" s="19">
        <v>-400</v>
      </c>
      <c r="J7" s="19">
        <v>-400</v>
      </c>
      <c r="K7" s="19">
        <v>-400</v>
      </c>
    </row>
    <row r="8" spans="1:11" x14ac:dyDescent="0.2">
      <c r="A8" t="s">
        <v>96</v>
      </c>
      <c r="C8" s="19">
        <v>81</v>
      </c>
      <c r="D8" s="19">
        <v>-100</v>
      </c>
      <c r="E8" s="19">
        <v>159</v>
      </c>
      <c r="F8" s="19">
        <v>-190</v>
      </c>
      <c r="G8" s="19">
        <v>-141.25</v>
      </c>
      <c r="H8" s="19">
        <v>-40.8125</v>
      </c>
      <c r="I8" s="19">
        <v>-42.853124999999977</v>
      </c>
      <c r="J8" s="19">
        <v>-44.99578125000005</v>
      </c>
      <c r="K8" s="19">
        <v>-47.245570312500035</v>
      </c>
    </row>
    <row r="9" spans="1:11" x14ac:dyDescent="0.2">
      <c r="A9" t="s">
        <v>97</v>
      </c>
      <c r="C9" s="19">
        <v>-72</v>
      </c>
      <c r="D9" s="19">
        <v>-78</v>
      </c>
      <c r="E9" s="19">
        <v>-192</v>
      </c>
      <c r="F9" s="19">
        <v>-205.81500000000005</v>
      </c>
      <c r="G9" s="19">
        <v>-327.36896875000002</v>
      </c>
      <c r="H9" s="19">
        <v>-344.6174171875</v>
      </c>
      <c r="I9" s="19">
        <v>-377.17146304687526</v>
      </c>
      <c r="J9" s="19">
        <v>-431.4220679492189</v>
      </c>
      <c r="K9" s="19">
        <v>-488.76724841418002</v>
      </c>
    </row>
    <row r="10" spans="1:11" x14ac:dyDescent="0.2">
      <c r="A10" s="39" t="s">
        <v>98</v>
      </c>
      <c r="B10" s="39"/>
      <c r="C10" s="37">
        <f>SUM(C6:C9)</f>
        <v>336</v>
      </c>
      <c r="D10" s="37">
        <f t="shared" ref="D10:K10" si="0">SUM(D6:D9)</f>
        <v>237</v>
      </c>
      <c r="E10" s="37">
        <f t="shared" si="0"/>
        <v>288</v>
      </c>
      <c r="F10" s="37">
        <f t="shared" si="0"/>
        <v>127.44500000000016</v>
      </c>
      <c r="G10" s="37">
        <f t="shared" si="0"/>
        <v>790.85690625000007</v>
      </c>
      <c r="H10" s="37">
        <f t="shared" si="0"/>
        <v>1043.0397515625</v>
      </c>
      <c r="I10" s="37">
        <f t="shared" si="0"/>
        <v>1138.6612641406257</v>
      </c>
      <c r="J10" s="37">
        <f t="shared" si="0"/>
        <v>1299.2704225976565</v>
      </c>
      <c r="K10" s="37">
        <f t="shared" si="0"/>
        <v>1469.05617493004</v>
      </c>
    </row>
    <row r="11" spans="1:11" x14ac:dyDescent="0.2">
      <c r="A11" s="14" t="s">
        <v>99</v>
      </c>
      <c r="B11" s="15"/>
      <c r="C11" s="46">
        <f>C10/C6*100</f>
        <v>64.244741873804969</v>
      </c>
      <c r="D11" s="46">
        <f>D10/D6*100</f>
        <v>39.698492462311556</v>
      </c>
      <c r="E11" s="46">
        <f>E10/E6*100</f>
        <v>25.46419098143236</v>
      </c>
      <c r="F11" s="46">
        <f t="shared" ref="F11:K11" si="1">F10/F6*100</f>
        <v>10.009346087994608</v>
      </c>
      <c r="G11" s="46">
        <f t="shared" si="1"/>
        <v>44.948437059416911</v>
      </c>
      <c r="H11" s="46">
        <f t="shared" si="1"/>
        <v>57.044410929471702</v>
      </c>
      <c r="I11" s="46">
        <f t="shared" si="1"/>
        <v>58.133940308444309</v>
      </c>
      <c r="J11" s="46">
        <f t="shared" si="1"/>
        <v>59.717673686984774</v>
      </c>
      <c r="K11" s="46">
        <f t="shared" si="1"/>
        <v>61.081664551188389</v>
      </c>
    </row>
    <row r="12" spans="1:11" x14ac:dyDescent="0.2">
      <c r="A12" s="16" t="str">
        <f>A2&amp;" - "&amp;A1</f>
        <v>Forecast section - Cash flow FY19 - FY25</v>
      </c>
    </row>
    <row r="13" spans="1:11" x14ac:dyDescent="0.2">
      <c r="A13" s="16" t="s">
        <v>241</v>
      </c>
    </row>
    <row r="15" spans="1:11" x14ac:dyDescent="0.2">
      <c r="A15" s="1" t="s">
        <v>242</v>
      </c>
    </row>
  </sheetData>
  <hyperlinks>
    <hyperlink ref="A3" location="Contents!A1" display="Back to: Table of contents" xr:uid="{49222BFE-EDDF-EA45-8690-9384A7095820}"/>
  </hyperlinks>
  <pageMargins left="0.70866141732283472" right="0.70866141732283472" top="1.3385826771653544" bottom="0.74803149606299213" header="0.31496062992125984" footer="0.31496062992125984"/>
  <pageSetup paperSize="9" scale="95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drawing r:id="rId1"/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AB0B6-FC3B-AB43-A699-7F150CB6D9E3}">
  <sheetPr>
    <tabColor rgb="FF00B0F0"/>
    <pageSetUpPr fitToPage="1"/>
  </sheetPr>
  <dimension ref="A1:A3"/>
  <sheetViews>
    <sheetView showGridLines="0" workbookViewId="0">
      <selection activeCell="B14" sqref="B14"/>
    </sheetView>
  </sheetViews>
  <sheetFormatPr baseColWidth="10" defaultRowHeight="16" x14ac:dyDescent="0.2"/>
  <cols>
    <col min="1" max="1" width="25.83203125" customWidth="1"/>
    <col min="2" max="2" width="5.1640625" customWidth="1"/>
  </cols>
  <sheetData>
    <row r="1" spans="1:1" ht="21" x14ac:dyDescent="0.25">
      <c r="A1" s="8" t="s">
        <v>268</v>
      </c>
    </row>
    <row r="2" spans="1:1" ht="19" x14ac:dyDescent="0.25">
      <c r="A2" s="9" t="s">
        <v>27</v>
      </c>
    </row>
    <row r="3" spans="1:1" x14ac:dyDescent="0.2">
      <c r="A3" s="47" t="s">
        <v>101</v>
      </c>
    </row>
  </sheetData>
  <hyperlinks>
    <hyperlink ref="A3" location="Contents!A1" display="Back to: Table of contents" xr:uid="{21C3AB6E-29CE-CA43-92E6-DA0316734345}"/>
  </hyperlinks>
  <pageMargins left="0.70866141732283472" right="0.70866141732283472" top="1.3385826771653544" bottom="0.74803149606299213" header="0.31496062992125984" footer="0.31496062992125984"/>
  <pageSetup paperSize="9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drawing r:id="rId1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60927-6654-C74E-B9CE-11878BE8F0C4}">
  <sheetPr>
    <tabColor theme="4"/>
    <pageSetUpPr fitToPage="1"/>
  </sheetPr>
  <dimension ref="A1:Q29"/>
  <sheetViews>
    <sheetView showGridLines="0" workbookViewId="0">
      <selection activeCell="B14" sqref="B14"/>
    </sheetView>
  </sheetViews>
  <sheetFormatPr baseColWidth="10" defaultRowHeight="16" x14ac:dyDescent="0.2"/>
  <cols>
    <col min="1" max="1" width="25.83203125" customWidth="1"/>
    <col min="2" max="2" width="5.1640625" customWidth="1"/>
    <col min="3" max="5" width="11.1640625" bestFit="1" customWidth="1"/>
    <col min="6" max="6" width="1.6640625" customWidth="1"/>
    <col min="10" max="10" width="1.5" customWidth="1"/>
  </cols>
  <sheetData>
    <row r="1" spans="1:17" ht="21" x14ac:dyDescent="0.25">
      <c r="A1" s="2" t="s">
        <v>7</v>
      </c>
    </row>
    <row r="2" spans="1:17" ht="19" x14ac:dyDescent="0.25">
      <c r="A2" s="7" t="str">
        <f>Lead!A1</f>
        <v>Lead section</v>
      </c>
    </row>
    <row r="3" spans="1:17" x14ac:dyDescent="0.2">
      <c r="A3" s="47" t="s">
        <v>101</v>
      </c>
    </row>
    <row r="4" spans="1:17" x14ac:dyDescent="0.2">
      <c r="A4" s="13"/>
      <c r="B4" s="13"/>
      <c r="C4" s="13"/>
      <c r="D4" s="13"/>
      <c r="E4" s="13"/>
      <c r="G4" s="105" t="s">
        <v>61</v>
      </c>
      <c r="H4" s="105"/>
      <c r="I4" s="105"/>
    </row>
    <row r="5" spans="1:17" x14ac:dyDescent="0.2">
      <c r="A5" s="28" t="s">
        <v>39</v>
      </c>
      <c r="B5" s="50" t="s">
        <v>40</v>
      </c>
      <c r="C5" s="29" t="s">
        <v>41</v>
      </c>
      <c r="D5" s="29" t="s">
        <v>42</v>
      </c>
      <c r="E5" s="29" t="s">
        <v>43</v>
      </c>
      <c r="G5" s="29" t="s">
        <v>41</v>
      </c>
      <c r="H5" s="29" t="s">
        <v>42</v>
      </c>
      <c r="I5" s="29" t="s">
        <v>43</v>
      </c>
      <c r="K5" s="80" t="s">
        <v>203</v>
      </c>
    </row>
    <row r="6" spans="1:17" x14ac:dyDescent="0.2">
      <c r="A6" t="s">
        <v>45</v>
      </c>
      <c r="C6" s="19">
        <v>6821</v>
      </c>
      <c r="D6" s="19">
        <v>8163</v>
      </c>
      <c r="E6" s="19">
        <v>9103</v>
      </c>
      <c r="G6" s="25">
        <f>C6/C$6*100</f>
        <v>100</v>
      </c>
      <c r="H6" s="25">
        <f t="shared" ref="H6:H22" si="0">D6/D$6*100</f>
        <v>100</v>
      </c>
      <c r="I6" s="25">
        <f t="shared" ref="I6:I22" si="1">E6/E$6*100</f>
        <v>100</v>
      </c>
    </row>
    <row r="7" spans="1:17" x14ac:dyDescent="0.2">
      <c r="A7" t="s">
        <v>46</v>
      </c>
      <c r="C7" s="19">
        <v>-3931</v>
      </c>
      <c r="D7" s="19">
        <v>-4934</v>
      </c>
      <c r="E7" s="19">
        <v>-5103</v>
      </c>
      <c r="G7" s="25">
        <f t="shared" ref="G7:G22" si="2">C7/C$6*100</f>
        <v>-57.63084591702097</v>
      </c>
      <c r="H7" s="25">
        <f t="shared" si="0"/>
        <v>-60.443464412593407</v>
      </c>
      <c r="I7" s="25">
        <f t="shared" si="1"/>
        <v>-56.058442271778532</v>
      </c>
      <c r="O7" s="44"/>
      <c r="P7" s="44"/>
      <c r="Q7" s="44"/>
    </row>
    <row r="8" spans="1:17" x14ac:dyDescent="0.2">
      <c r="A8" s="1" t="s">
        <v>47</v>
      </c>
      <c r="B8" s="1"/>
      <c r="C8" s="20">
        <f>SUM(C6:C7)</f>
        <v>2890</v>
      </c>
      <c r="D8" s="20">
        <f>SUM(D6:D7)</f>
        <v>3229</v>
      </c>
      <c r="E8" s="20">
        <f>SUM(E6:E7)</f>
        <v>4000</v>
      </c>
      <c r="G8" s="26">
        <f t="shared" si="2"/>
        <v>42.369154082979037</v>
      </c>
      <c r="H8" s="26">
        <f t="shared" si="0"/>
        <v>39.556535587406586</v>
      </c>
      <c r="I8" s="26">
        <f t="shared" si="1"/>
        <v>43.941557728221461</v>
      </c>
    </row>
    <row r="9" spans="1:17" x14ac:dyDescent="0.2">
      <c r="A9" t="s">
        <v>48</v>
      </c>
      <c r="C9" s="19">
        <v>-1432</v>
      </c>
      <c r="D9" s="19">
        <v>-1574</v>
      </c>
      <c r="E9" s="19">
        <v>-2018</v>
      </c>
      <c r="G9" s="25">
        <f t="shared" si="2"/>
        <v>-20.993989151150856</v>
      </c>
      <c r="H9" s="25">
        <f t="shared" si="0"/>
        <v>-19.282126669116746</v>
      </c>
      <c r="I9" s="25">
        <f t="shared" si="1"/>
        <v>-22.168515873887728</v>
      </c>
    </row>
    <row r="10" spans="1:17" x14ac:dyDescent="0.2">
      <c r="A10" t="s">
        <v>49</v>
      </c>
      <c r="C10" s="19">
        <v>-374</v>
      </c>
      <c r="D10" s="19">
        <v>-481</v>
      </c>
      <c r="E10" s="19">
        <v>-410</v>
      </c>
      <c r="G10" s="25">
        <f t="shared" si="2"/>
        <v>-5.4830669989737579</v>
      </c>
      <c r="H10" s="25">
        <f t="shared" si="0"/>
        <v>-5.8924415043488914</v>
      </c>
      <c r="I10" s="25">
        <f t="shared" si="1"/>
        <v>-4.5040096671427001</v>
      </c>
    </row>
    <row r="11" spans="1:17" x14ac:dyDescent="0.2">
      <c r="A11" t="s">
        <v>50</v>
      </c>
      <c r="C11" s="19">
        <v>-231</v>
      </c>
      <c r="D11" s="19">
        <v>-243</v>
      </c>
      <c r="E11" s="19">
        <v>-213</v>
      </c>
      <c r="G11" s="25">
        <f t="shared" si="2"/>
        <v>-3.3866002052484974</v>
      </c>
      <c r="H11" s="25">
        <f t="shared" si="0"/>
        <v>-2.9768467475192946</v>
      </c>
      <c r="I11" s="25">
        <f t="shared" si="1"/>
        <v>-2.3398879490277928</v>
      </c>
    </row>
    <row r="12" spans="1:17" x14ac:dyDescent="0.2">
      <c r="A12" t="s">
        <v>51</v>
      </c>
      <c r="C12" s="19">
        <v>-129</v>
      </c>
      <c r="D12" s="19">
        <v>-184</v>
      </c>
      <c r="E12" s="19">
        <v>-122</v>
      </c>
      <c r="G12" s="25">
        <f t="shared" si="2"/>
        <v>-1.8912182964374726</v>
      </c>
      <c r="H12" s="25">
        <f t="shared" si="0"/>
        <v>-2.2540732573808646</v>
      </c>
      <c r="I12" s="25">
        <f t="shared" si="1"/>
        <v>-1.3402175107107548</v>
      </c>
    </row>
    <row r="13" spans="1:17" x14ac:dyDescent="0.2">
      <c r="A13" t="s">
        <v>52</v>
      </c>
      <c r="C13" s="19">
        <v>-201</v>
      </c>
      <c r="D13" s="19">
        <v>-150</v>
      </c>
      <c r="E13" s="19">
        <v>-106</v>
      </c>
      <c r="G13" s="25">
        <f t="shared" si="2"/>
        <v>-2.9467819967746665</v>
      </c>
      <c r="H13" s="25">
        <f t="shared" si="0"/>
        <v>-1.8375597206909222</v>
      </c>
      <c r="I13" s="25">
        <f t="shared" si="1"/>
        <v>-1.1644512797978688</v>
      </c>
    </row>
    <row r="14" spans="1:17" s="6" customFormat="1" x14ac:dyDescent="0.2">
      <c r="A14" s="18" t="s">
        <v>53</v>
      </c>
      <c r="B14" s="18"/>
      <c r="C14" s="21">
        <f>SUM(C9:C13)</f>
        <v>-2367</v>
      </c>
      <c r="D14" s="21">
        <f>SUM(D9:D13)</f>
        <v>-2632</v>
      </c>
      <c r="E14" s="21">
        <f>SUM(E9:E13)</f>
        <v>-2869</v>
      </c>
      <c r="G14" s="27">
        <f t="shared" si="2"/>
        <v>-34.701656648585249</v>
      </c>
      <c r="H14" s="27">
        <f t="shared" si="0"/>
        <v>-32.24304789905672</v>
      </c>
      <c r="I14" s="27">
        <f t="shared" si="1"/>
        <v>-31.517082280566843</v>
      </c>
    </row>
    <row r="15" spans="1:17" s="1" customFormat="1" x14ac:dyDescent="0.2">
      <c r="A15" s="36" t="s">
        <v>64</v>
      </c>
      <c r="B15" s="36"/>
      <c r="C15" s="37">
        <f>SUM(C8,C14)</f>
        <v>523</v>
      </c>
      <c r="D15" s="37">
        <f>SUM(D8,D14)</f>
        <v>597</v>
      </c>
      <c r="E15" s="37">
        <f>SUM(E8,E14)</f>
        <v>1131</v>
      </c>
      <c r="G15" s="38">
        <f t="shared" si="2"/>
        <v>7.6674974343937841</v>
      </c>
      <c r="H15" s="38">
        <f t="shared" si="0"/>
        <v>7.3134876883498716</v>
      </c>
      <c r="I15" s="38">
        <f t="shared" si="1"/>
        <v>12.424475447654618</v>
      </c>
    </row>
    <row r="16" spans="1:17" x14ac:dyDescent="0.2">
      <c r="A16" t="s">
        <v>54</v>
      </c>
      <c r="C16" s="19">
        <v>-117</v>
      </c>
      <c r="D16" s="19">
        <v>-357</v>
      </c>
      <c r="E16" s="19">
        <v>-454</v>
      </c>
      <c r="G16" s="25">
        <f t="shared" si="2"/>
        <v>-1.7152910130479402</v>
      </c>
      <c r="H16" s="25">
        <f t="shared" si="0"/>
        <v>-4.3733921352443952</v>
      </c>
      <c r="I16" s="25">
        <f t="shared" si="1"/>
        <v>-4.9873668021531365</v>
      </c>
    </row>
    <row r="17" spans="1:9" s="1" customFormat="1" x14ac:dyDescent="0.2">
      <c r="A17" s="1" t="s">
        <v>60</v>
      </c>
      <c r="C17" s="20">
        <f>SUM(C15:C16)</f>
        <v>406</v>
      </c>
      <c r="D17" s="20">
        <f t="shared" ref="D17:E17" si="3">SUM(D15:D16)</f>
        <v>240</v>
      </c>
      <c r="E17" s="20">
        <f t="shared" si="3"/>
        <v>677</v>
      </c>
      <c r="G17" s="26">
        <f t="shared" si="2"/>
        <v>5.9522064213458439</v>
      </c>
      <c r="H17" s="26">
        <f t="shared" si="0"/>
        <v>2.940095553105476</v>
      </c>
      <c r="I17" s="26">
        <f t="shared" si="1"/>
        <v>7.4371086455014837</v>
      </c>
    </row>
    <row r="18" spans="1:9" x14ac:dyDescent="0.2">
      <c r="A18" t="s">
        <v>55</v>
      </c>
      <c r="C18" s="19">
        <v>-222</v>
      </c>
      <c r="D18" s="19">
        <v>-324</v>
      </c>
      <c r="E18" s="19">
        <v>-418</v>
      </c>
      <c r="G18" s="25">
        <f t="shared" si="2"/>
        <v>-3.2546547427063484</v>
      </c>
      <c r="H18" s="25">
        <f t="shared" si="0"/>
        <v>-3.9691289966923926</v>
      </c>
      <c r="I18" s="25">
        <f t="shared" si="1"/>
        <v>-4.5918927825991434</v>
      </c>
    </row>
    <row r="19" spans="1:9" x14ac:dyDescent="0.2">
      <c r="A19" t="s">
        <v>56</v>
      </c>
      <c r="C19" s="19">
        <v>216</v>
      </c>
      <c r="D19" s="19">
        <v>386</v>
      </c>
      <c r="E19" s="19">
        <v>478</v>
      </c>
      <c r="G19" s="25">
        <f t="shared" si="2"/>
        <v>3.1666911010115815</v>
      </c>
      <c r="H19" s="25">
        <f t="shared" si="0"/>
        <v>4.7286536812446407</v>
      </c>
      <c r="I19" s="25">
        <f t="shared" si="1"/>
        <v>5.2510161485224653</v>
      </c>
    </row>
    <row r="20" spans="1:9" s="1" customFormat="1" x14ac:dyDescent="0.2">
      <c r="A20" s="1" t="s">
        <v>59</v>
      </c>
      <c r="C20" s="20">
        <f>SUM(C17:C19)</f>
        <v>400</v>
      </c>
      <c r="D20" s="20">
        <f>SUM(D17:D19)</f>
        <v>302</v>
      </c>
      <c r="E20" s="20">
        <f>SUM(E17:E19)</f>
        <v>737</v>
      </c>
      <c r="G20" s="26">
        <f t="shared" si="2"/>
        <v>5.8642427796510779</v>
      </c>
      <c r="H20" s="26">
        <f t="shared" si="0"/>
        <v>3.6996202376577241</v>
      </c>
      <c r="I20" s="26">
        <f t="shared" si="1"/>
        <v>8.0962320114248048</v>
      </c>
    </row>
    <row r="21" spans="1:9" x14ac:dyDescent="0.2">
      <c r="A21" s="13" t="s">
        <v>57</v>
      </c>
      <c r="B21" s="13"/>
      <c r="C21" s="22">
        <v>-87</v>
      </c>
      <c r="D21" s="22">
        <v>-89</v>
      </c>
      <c r="E21" s="22">
        <v>-187</v>
      </c>
      <c r="G21" s="27">
        <f t="shared" si="2"/>
        <v>-1.2754728045741093</v>
      </c>
      <c r="H21" s="27">
        <f t="shared" si="0"/>
        <v>-1.090285434276614</v>
      </c>
      <c r="I21" s="27">
        <f t="shared" si="1"/>
        <v>-2.0542678237943535</v>
      </c>
    </row>
    <row r="22" spans="1:9" s="1" customFormat="1" x14ac:dyDescent="0.2">
      <c r="A22" s="39" t="s">
        <v>58</v>
      </c>
      <c r="B22" s="39"/>
      <c r="C22" s="37">
        <f>SUM(C20:C21)</f>
        <v>313</v>
      </c>
      <c r="D22" s="37">
        <f>SUM(D20:D21)</f>
        <v>213</v>
      </c>
      <c r="E22" s="37">
        <f>SUM(E20:E21)</f>
        <v>550</v>
      </c>
      <c r="G22" s="38">
        <f t="shared" si="2"/>
        <v>4.5887699750769677</v>
      </c>
      <c r="H22" s="38">
        <f t="shared" si="0"/>
        <v>2.6093348033811097</v>
      </c>
      <c r="I22" s="38">
        <f t="shared" si="1"/>
        <v>6.0419641876304517</v>
      </c>
    </row>
    <row r="23" spans="1:9" s="1" customFormat="1" x14ac:dyDescent="0.2">
      <c r="A23" s="30" t="s">
        <v>62</v>
      </c>
      <c r="B23" s="24"/>
      <c r="C23" s="23"/>
      <c r="D23" s="23"/>
      <c r="E23" s="23"/>
    </row>
    <row r="24" spans="1:9" s="1" customFormat="1" x14ac:dyDescent="0.2">
      <c r="A24" s="17" t="s">
        <v>63</v>
      </c>
      <c r="B24" s="24"/>
      <c r="C24" s="32" t="s">
        <v>68</v>
      </c>
      <c r="D24" s="25">
        <f>(D6-C6)/C6*100</f>
        <v>19.674534525729364</v>
      </c>
      <c r="E24" s="25">
        <f>(E6-D6)/D6*100</f>
        <v>11.515374249663115</v>
      </c>
      <c r="F24" s="6"/>
      <c r="G24" s="6"/>
      <c r="H24" s="6"/>
      <c r="I24" s="6"/>
    </row>
    <row r="25" spans="1:9" s="1" customFormat="1" x14ac:dyDescent="0.2">
      <c r="A25" s="17" t="s">
        <v>65</v>
      </c>
      <c r="B25" s="24"/>
      <c r="C25" s="31">
        <v>21</v>
      </c>
      <c r="D25" s="31">
        <v>22.6</v>
      </c>
      <c r="E25" s="31">
        <v>29</v>
      </c>
      <c r="F25" s="6"/>
      <c r="G25" s="6"/>
      <c r="H25" s="6"/>
      <c r="I25" s="6"/>
    </row>
    <row r="26" spans="1:9" s="1" customFormat="1" x14ac:dyDescent="0.2">
      <c r="A26" s="17" t="s">
        <v>66</v>
      </c>
      <c r="B26" s="24"/>
      <c r="C26" s="31">
        <f>-C9/C25</f>
        <v>68.19047619047619</v>
      </c>
      <c r="D26" s="31">
        <f>-D9/D25</f>
        <v>69.646017699115035</v>
      </c>
      <c r="E26" s="31">
        <f>-E9/E25</f>
        <v>69.58620689655173</v>
      </c>
      <c r="F26" s="17"/>
      <c r="G26" s="17"/>
      <c r="H26" s="17"/>
      <c r="I26" s="17"/>
    </row>
    <row r="27" spans="1:9" x14ac:dyDescent="0.2">
      <c r="A27" s="18" t="s">
        <v>67</v>
      </c>
      <c r="B27" s="13"/>
      <c r="C27" s="27">
        <f>-C21/C20*100</f>
        <v>21.75</v>
      </c>
      <c r="D27" s="27">
        <f>-D21/D20*100</f>
        <v>29.47019867549669</v>
      </c>
      <c r="E27" s="27">
        <f>-E21/E20*100</f>
        <v>25.373134328358208</v>
      </c>
      <c r="F27" s="17"/>
      <c r="G27" s="17"/>
      <c r="H27" s="17"/>
      <c r="I27" s="17"/>
    </row>
    <row r="28" spans="1:9" x14ac:dyDescent="0.2">
      <c r="A28" s="16" t="str">
        <f>A2&amp;" - "&amp;A1</f>
        <v>Lead section - Lead income statement</v>
      </c>
    </row>
    <row r="29" spans="1:9" x14ac:dyDescent="0.2">
      <c r="A29" s="16" t="s">
        <v>44</v>
      </c>
    </row>
  </sheetData>
  <mergeCells count="1">
    <mergeCell ref="G4:I4"/>
  </mergeCells>
  <hyperlinks>
    <hyperlink ref="A3" location="Contents!A1" display="Back to: Table of contents" xr:uid="{DDCD7783-FB70-BD4E-BE99-BBFB27220ACC}"/>
  </hyperlinks>
  <pageMargins left="0.70866141732283472" right="0.70866141732283472" top="1.3385826771653544" bottom="0.74803149606299213" header="0.31496062992125984" footer="0.31496062992125984"/>
  <pageSetup paperSize="9" scale="85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drawing r:id="rId1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2A5AC-860C-9541-93DE-FB3AF4FE3121}">
  <sheetPr>
    <tabColor theme="4"/>
    <pageSetUpPr fitToPage="1"/>
  </sheetPr>
  <dimension ref="A1:N27"/>
  <sheetViews>
    <sheetView showGridLines="0" workbookViewId="0">
      <selection activeCell="B14" sqref="B14"/>
    </sheetView>
  </sheetViews>
  <sheetFormatPr baseColWidth="10" defaultRowHeight="16" x14ac:dyDescent="0.2"/>
  <cols>
    <col min="1" max="1" width="25.83203125" customWidth="1"/>
    <col min="2" max="2" width="5.1640625" customWidth="1"/>
  </cols>
  <sheetData>
    <row r="1" spans="1:8" ht="21" x14ac:dyDescent="0.25">
      <c r="A1" s="2" t="s">
        <v>69</v>
      </c>
    </row>
    <row r="2" spans="1:8" ht="19" x14ac:dyDescent="0.25">
      <c r="A2" s="7" t="str">
        <f>Lead!A1</f>
        <v>Lead section</v>
      </c>
    </row>
    <row r="3" spans="1:8" x14ac:dyDescent="0.2">
      <c r="A3" s="47" t="s">
        <v>101</v>
      </c>
    </row>
    <row r="4" spans="1:8" x14ac:dyDescent="0.2">
      <c r="A4" s="13"/>
      <c r="B4" s="13"/>
      <c r="C4" s="13"/>
      <c r="D4" s="13"/>
      <c r="E4" s="13"/>
    </row>
    <row r="5" spans="1:8" x14ac:dyDescent="0.2">
      <c r="A5" s="28" t="s">
        <v>39</v>
      </c>
      <c r="B5" s="50" t="s">
        <v>40</v>
      </c>
      <c r="C5" s="33">
        <v>43070</v>
      </c>
      <c r="D5" s="33">
        <v>43435</v>
      </c>
      <c r="E5" s="33">
        <v>43800</v>
      </c>
    </row>
    <row r="6" spans="1:8" x14ac:dyDescent="0.2">
      <c r="A6" t="s">
        <v>70</v>
      </c>
      <c r="C6" s="19">
        <v>2131</v>
      </c>
      <c r="D6" s="19">
        <v>1973</v>
      </c>
      <c r="E6" s="19">
        <v>2410</v>
      </c>
    </row>
    <row r="7" spans="1:8" x14ac:dyDescent="0.2">
      <c r="A7" t="s">
        <v>71</v>
      </c>
      <c r="C7" s="19">
        <v>231</v>
      </c>
      <c r="D7" s="19">
        <v>311</v>
      </c>
      <c r="E7" s="19">
        <v>313</v>
      </c>
    </row>
    <row r="8" spans="1:8" x14ac:dyDescent="0.2">
      <c r="A8" t="s">
        <v>72</v>
      </c>
      <c r="C8" s="19">
        <v>103</v>
      </c>
      <c r="D8" s="19">
        <v>87</v>
      </c>
      <c r="E8" s="19">
        <v>51</v>
      </c>
    </row>
    <row r="9" spans="1:8" s="1" customFormat="1" x14ac:dyDescent="0.2">
      <c r="A9" s="1" t="s">
        <v>73</v>
      </c>
      <c r="C9" s="20">
        <f>SUM(C6:C8)</f>
        <v>2465</v>
      </c>
      <c r="D9" s="20">
        <f>SUM(D6:D8)</f>
        <v>2371</v>
      </c>
      <c r="E9" s="20">
        <f>SUM(E6:E8)</f>
        <v>2774</v>
      </c>
      <c r="F9" s="45"/>
      <c r="G9" s="45"/>
    </row>
    <row r="10" spans="1:8" x14ac:dyDescent="0.2">
      <c r="A10" s="34" t="s">
        <v>74</v>
      </c>
      <c r="C10" s="19">
        <v>512</v>
      </c>
      <c r="D10" s="19">
        <v>618</v>
      </c>
      <c r="E10" s="19">
        <v>712</v>
      </c>
    </row>
    <row r="11" spans="1:8" x14ac:dyDescent="0.2">
      <c r="A11" s="34" t="s">
        <v>75</v>
      </c>
      <c r="C11" s="19">
        <v>351</v>
      </c>
      <c r="D11" s="19">
        <v>461</v>
      </c>
      <c r="E11" s="19">
        <v>218</v>
      </c>
    </row>
    <row r="12" spans="1:8" x14ac:dyDescent="0.2">
      <c r="A12" s="34" t="s">
        <v>76</v>
      </c>
      <c r="C12" s="19">
        <v>-241</v>
      </c>
      <c r="D12" s="19">
        <v>-319</v>
      </c>
      <c r="E12" s="19">
        <v>-441</v>
      </c>
    </row>
    <row r="13" spans="1:8" x14ac:dyDescent="0.2">
      <c r="A13" t="s">
        <v>77</v>
      </c>
      <c r="C13" s="19">
        <f>SUM(C10:C12)</f>
        <v>622</v>
      </c>
      <c r="D13" s="19">
        <f>SUM(D10:D12)</f>
        <v>760</v>
      </c>
      <c r="E13" s="19">
        <f>SUM(E10:E12)</f>
        <v>489</v>
      </c>
      <c r="G13" s="44"/>
      <c r="H13" s="44"/>
    </row>
    <row r="14" spans="1:8" x14ac:dyDescent="0.2">
      <c r="A14" s="34" t="s">
        <v>78</v>
      </c>
      <c r="C14" s="19">
        <v>-64</v>
      </c>
      <c r="D14" s="19">
        <v>-75</v>
      </c>
      <c r="E14" s="19">
        <v>-84</v>
      </c>
    </row>
    <row r="15" spans="1:8" x14ac:dyDescent="0.2">
      <c r="A15" s="34" t="s">
        <v>80</v>
      </c>
      <c r="C15" s="19">
        <v>-21</v>
      </c>
      <c r="D15" s="19">
        <v>-32</v>
      </c>
      <c r="E15" s="19">
        <v>-27</v>
      </c>
      <c r="G15" s="44"/>
      <c r="H15" s="44"/>
    </row>
    <row r="16" spans="1:8" x14ac:dyDescent="0.2">
      <c r="A16" s="34" t="s">
        <v>79</v>
      </c>
      <c r="C16" s="19">
        <v>-46</v>
      </c>
      <c r="D16" s="19">
        <v>-39</v>
      </c>
      <c r="E16" s="19">
        <v>-41</v>
      </c>
    </row>
    <row r="17" spans="1:14" x14ac:dyDescent="0.2">
      <c r="A17" s="34" t="s">
        <v>81</v>
      </c>
      <c r="C17" s="19">
        <v>-210</v>
      </c>
      <c r="D17" s="19">
        <v>-303</v>
      </c>
      <c r="E17" s="19">
        <v>-231</v>
      </c>
    </row>
    <row r="18" spans="1:14" x14ac:dyDescent="0.2">
      <c r="A18" s="34" t="s">
        <v>82</v>
      </c>
      <c r="C18" s="19">
        <v>103</v>
      </c>
      <c r="D18" s="19">
        <v>173</v>
      </c>
      <c r="E18" s="19">
        <v>219</v>
      </c>
      <c r="N18" s="19"/>
    </row>
    <row r="19" spans="1:14" x14ac:dyDescent="0.2">
      <c r="A19" s="10" t="s">
        <v>83</v>
      </c>
      <c r="B19" s="13"/>
      <c r="C19" s="20">
        <f>SUM(C13:C18)</f>
        <v>384</v>
      </c>
      <c r="D19" s="20">
        <f>SUM(D13:D18)</f>
        <v>484</v>
      </c>
      <c r="E19" s="20">
        <f>SUM(E13:E18)</f>
        <v>325</v>
      </c>
      <c r="G19" s="44"/>
      <c r="H19" s="44"/>
      <c r="L19" s="1"/>
    </row>
    <row r="20" spans="1:14" x14ac:dyDescent="0.2">
      <c r="A20" s="39" t="s">
        <v>86</v>
      </c>
      <c r="B20" s="39"/>
      <c r="C20" s="37">
        <f>SUM(C9,C19)</f>
        <v>2849</v>
      </c>
      <c r="D20" s="37">
        <f>SUM(D9,D19)</f>
        <v>2855</v>
      </c>
      <c r="E20" s="37">
        <f>SUM(E9,E19)</f>
        <v>3099</v>
      </c>
    </row>
    <row r="21" spans="1:14" x14ac:dyDescent="0.2">
      <c r="A21" t="s">
        <v>84</v>
      </c>
      <c r="C21" s="19">
        <v>-2394</v>
      </c>
      <c r="D21" s="19">
        <v>-2375</v>
      </c>
      <c r="E21" s="19">
        <v>-2925</v>
      </c>
    </row>
    <row r="22" spans="1:14" x14ac:dyDescent="0.2">
      <c r="A22" t="s">
        <v>87</v>
      </c>
      <c r="C22" s="19">
        <v>-123</v>
      </c>
      <c r="D22" s="19">
        <v>-281</v>
      </c>
      <c r="E22" s="19">
        <v>-116</v>
      </c>
    </row>
    <row r="23" spans="1:14" x14ac:dyDescent="0.2">
      <c r="A23" t="s">
        <v>89</v>
      </c>
      <c r="C23" s="19">
        <v>-351</v>
      </c>
      <c r="D23" s="19">
        <v>-512</v>
      </c>
      <c r="E23" s="19">
        <v>-419</v>
      </c>
    </row>
    <row r="24" spans="1:14" x14ac:dyDescent="0.2">
      <c r="A24" s="13" t="s">
        <v>88</v>
      </c>
      <c r="B24" s="13"/>
      <c r="C24" s="19">
        <v>19</v>
      </c>
      <c r="D24" s="19">
        <v>313</v>
      </c>
      <c r="E24" s="19">
        <v>361</v>
      </c>
    </row>
    <row r="25" spans="1:14" x14ac:dyDescent="0.2">
      <c r="A25" s="36" t="s">
        <v>85</v>
      </c>
      <c r="B25" s="36"/>
      <c r="C25" s="37">
        <f>SUM(C21:C24)</f>
        <v>-2849</v>
      </c>
      <c r="D25" s="37">
        <f>SUM(D21:D24)</f>
        <v>-2855</v>
      </c>
      <c r="E25" s="37">
        <f>SUM(E21:E24)</f>
        <v>-3099</v>
      </c>
    </row>
    <row r="26" spans="1:14" x14ac:dyDescent="0.2">
      <c r="A26" s="16" t="str">
        <f>A2&amp;" - "&amp;A1</f>
        <v>Lead section - Lead balance sheet / capital employed</v>
      </c>
    </row>
    <row r="27" spans="1:14" x14ac:dyDescent="0.2">
      <c r="A27" s="16" t="s">
        <v>44</v>
      </c>
    </row>
  </sheetData>
  <hyperlinks>
    <hyperlink ref="A3" location="Contents!A1" display="Back to: Table of contents" xr:uid="{C72458AD-9BF0-1A41-8CE3-89537D796BE9}"/>
  </hyperlinks>
  <pageMargins left="0.70866141732283472" right="0.70866141732283472" top="1.3385826771653544" bottom="0.74803149606299213" header="0.31496062992125984" footer="0.31496062992125984"/>
  <pageSetup paperSize="9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legacyDrawingHF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95881-0297-B04F-9FBD-B054F8745C8B}">
  <sheetPr>
    <tabColor theme="4"/>
    <pageSetUpPr fitToPage="1"/>
  </sheetPr>
  <dimension ref="A1:E13"/>
  <sheetViews>
    <sheetView showGridLines="0" workbookViewId="0">
      <selection activeCell="B14" sqref="B14"/>
    </sheetView>
  </sheetViews>
  <sheetFormatPr baseColWidth="10" defaultRowHeight="16" x14ac:dyDescent="0.2"/>
  <cols>
    <col min="1" max="1" width="25.83203125" customWidth="1"/>
    <col min="2" max="2" width="5.1640625" customWidth="1"/>
  </cols>
  <sheetData>
    <row r="1" spans="1:5" ht="21" x14ac:dyDescent="0.25">
      <c r="A1" s="2" t="s">
        <v>8</v>
      </c>
    </row>
    <row r="2" spans="1:5" ht="19" x14ac:dyDescent="0.25">
      <c r="A2" s="7" t="str">
        <f>Lead!A1</f>
        <v>Lead section</v>
      </c>
    </row>
    <row r="3" spans="1:5" x14ac:dyDescent="0.2">
      <c r="A3" s="47" t="s">
        <v>101</v>
      </c>
    </row>
    <row r="4" spans="1:5" x14ac:dyDescent="0.2">
      <c r="A4" s="13"/>
      <c r="B4" s="13"/>
      <c r="C4" s="13"/>
      <c r="D4" s="13"/>
      <c r="E4" s="13"/>
    </row>
    <row r="5" spans="1:5" x14ac:dyDescent="0.2">
      <c r="A5" s="28" t="s">
        <v>39</v>
      </c>
      <c r="B5" s="50" t="s">
        <v>40</v>
      </c>
      <c r="C5" s="33" t="s">
        <v>41</v>
      </c>
      <c r="D5" s="33" t="s">
        <v>42</v>
      </c>
      <c r="E5" s="33" t="s">
        <v>43</v>
      </c>
    </row>
    <row r="6" spans="1:5" s="1" customFormat="1" x14ac:dyDescent="0.2">
      <c r="A6" s="1" t="s">
        <v>64</v>
      </c>
      <c r="C6" s="20">
        <f>'Lead-PL'!C15</f>
        <v>523</v>
      </c>
      <c r="D6" s="20">
        <f>'Lead-PL'!D15</f>
        <v>597</v>
      </c>
      <c r="E6" s="20">
        <f>'Lead-PL'!E15</f>
        <v>1131</v>
      </c>
    </row>
    <row r="7" spans="1:5" x14ac:dyDescent="0.2">
      <c r="A7" t="s">
        <v>95</v>
      </c>
      <c r="C7" s="19">
        <v>-196</v>
      </c>
      <c r="D7" s="19">
        <v>-182</v>
      </c>
      <c r="E7" s="19">
        <v>-810</v>
      </c>
    </row>
    <row r="8" spans="1:5" x14ac:dyDescent="0.2">
      <c r="A8" t="s">
        <v>96</v>
      </c>
      <c r="C8" s="19">
        <v>81</v>
      </c>
      <c r="D8" s="19">
        <v>-100</v>
      </c>
      <c r="E8" s="19">
        <v>159</v>
      </c>
    </row>
    <row r="9" spans="1:5" x14ac:dyDescent="0.2">
      <c r="A9" t="s">
        <v>97</v>
      </c>
      <c r="C9" s="19">
        <v>-72</v>
      </c>
      <c r="D9" s="19">
        <v>-78</v>
      </c>
      <c r="E9" s="19">
        <v>-192</v>
      </c>
    </row>
    <row r="10" spans="1:5" x14ac:dyDescent="0.2">
      <c r="A10" s="39" t="s">
        <v>98</v>
      </c>
      <c r="B10" s="39"/>
      <c r="C10" s="37">
        <f>SUM(C6:C9)</f>
        <v>336</v>
      </c>
      <c r="D10" s="37">
        <f>SUM(D6:D9)</f>
        <v>237</v>
      </c>
      <c r="E10" s="37">
        <f>SUM(E6:E9)</f>
        <v>288</v>
      </c>
    </row>
    <row r="11" spans="1:5" x14ac:dyDescent="0.2">
      <c r="A11" s="14" t="s">
        <v>99</v>
      </c>
      <c r="B11" s="15"/>
      <c r="C11" s="46">
        <f>C10/C6*100</f>
        <v>64.244741873804969</v>
      </c>
      <c r="D11" s="46">
        <f>D10/D6*100</f>
        <v>39.698492462311556</v>
      </c>
      <c r="E11" s="46">
        <f>E10/E6*100</f>
        <v>25.46419098143236</v>
      </c>
    </row>
    <row r="12" spans="1:5" x14ac:dyDescent="0.2">
      <c r="A12" s="16" t="str">
        <f>A2&amp;" - "&amp;A1</f>
        <v>Lead section - Lead cash flow statement</v>
      </c>
    </row>
    <row r="13" spans="1:5" x14ac:dyDescent="0.2">
      <c r="A13" s="16" t="s">
        <v>44</v>
      </c>
    </row>
  </sheetData>
  <hyperlinks>
    <hyperlink ref="A3" location="Contents!A1" display="Back to: Table of contents" xr:uid="{CFB1C9BF-4F24-F342-B6AD-44ED77A83A28}"/>
  </hyperlinks>
  <pageMargins left="0.70866141732283472" right="0.70866141732283472" top="1.3385826771653544" bottom="0.74803149606299213" header="0.31496062992125984" footer="0.31496062992125984"/>
  <pageSetup paperSize="9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legacyDrawingHF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3ECF3-F47A-3D4F-B453-CCF18AB8F30E}">
  <sheetPr>
    <tabColor theme="5"/>
    <pageSetUpPr fitToPage="1"/>
  </sheetPr>
  <dimension ref="A1:C8"/>
  <sheetViews>
    <sheetView showGridLines="0" workbookViewId="0">
      <selection activeCell="B14" sqref="B14"/>
    </sheetView>
  </sheetViews>
  <sheetFormatPr baseColWidth="10" defaultRowHeight="16" x14ac:dyDescent="0.2"/>
  <cols>
    <col min="1" max="1" width="37.33203125" customWidth="1"/>
  </cols>
  <sheetData>
    <row r="1" spans="1:3" ht="21" x14ac:dyDescent="0.25">
      <c r="A1" s="2" t="s">
        <v>9</v>
      </c>
    </row>
    <row r="2" spans="1:3" ht="19" x14ac:dyDescent="0.25">
      <c r="A2" s="7"/>
    </row>
    <row r="3" spans="1:3" x14ac:dyDescent="0.2">
      <c r="A3" s="48"/>
    </row>
    <row r="4" spans="1:3" x14ac:dyDescent="0.2">
      <c r="A4" s="10" t="s">
        <v>32</v>
      </c>
      <c r="B4" s="10" t="s">
        <v>33</v>
      </c>
      <c r="C4" s="11" t="s">
        <v>34</v>
      </c>
    </row>
    <row r="5" spans="1:3" x14ac:dyDescent="0.2">
      <c r="A5" s="104" t="str">
        <f>EVtoEQ!A1</f>
        <v>Enterprise value to equity value bridge</v>
      </c>
      <c r="B5" s="103" t="s">
        <v>302</v>
      </c>
      <c r="C5">
        <v>8</v>
      </c>
    </row>
    <row r="6" spans="1:3" x14ac:dyDescent="0.2">
      <c r="A6" s="12" t="str">
        <f>AE!A1</f>
        <v>Adjusted EBITDA</v>
      </c>
      <c r="B6" t="s">
        <v>36</v>
      </c>
      <c r="C6">
        <v>9</v>
      </c>
    </row>
    <row r="7" spans="1:3" x14ac:dyDescent="0.2">
      <c r="A7" s="12" t="str">
        <f>ND!A1</f>
        <v>Net debt overview</v>
      </c>
      <c r="B7" t="s">
        <v>37</v>
      </c>
      <c r="C7">
        <v>10</v>
      </c>
    </row>
    <row r="8" spans="1:3" x14ac:dyDescent="0.2">
      <c r="A8" s="12" t="str">
        <f>NWC!A1</f>
        <v>Normalized net working capital overview</v>
      </c>
      <c r="B8" t="s">
        <v>38</v>
      </c>
      <c r="C8">
        <v>11</v>
      </c>
    </row>
  </sheetData>
  <hyperlinks>
    <hyperlink ref="A6" location="AE!A1" display="AE!A1" xr:uid="{16B7B09F-3F04-3D49-A8AF-D31BED4B2F02}"/>
    <hyperlink ref="A7" location="ND!A1" display="ND!A1" xr:uid="{5E6E4AB0-6E4A-0745-846D-F2F3494C7E49}"/>
    <hyperlink ref="A8" location="NWC!A1" display="NWC!A1" xr:uid="{10F53513-4A95-0B4C-8AD5-324B375C6105}"/>
    <hyperlink ref="A5" location="EVtoEQ!A1" display="EVtoEQ!A1" xr:uid="{E80193AC-3524-1040-BBA2-A4985A8521A3}"/>
  </hyperlinks>
  <pageMargins left="0.70866141732283472" right="0.70866141732283472" top="1.3385826771653544" bottom="0.74803149606299213" header="0.31496062992125984" footer="0.31496062992125984"/>
  <pageSetup paperSize="9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legacyDrawingHF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031D1-4792-6941-8C9F-5C49680C6295}">
  <sheetPr>
    <tabColor theme="5"/>
    <pageSetUpPr fitToPage="1"/>
  </sheetPr>
  <dimension ref="A1:D17"/>
  <sheetViews>
    <sheetView showGridLines="0" zoomScaleNormal="100" workbookViewId="0">
      <selection activeCell="B14" sqref="B14"/>
    </sheetView>
  </sheetViews>
  <sheetFormatPr baseColWidth="10" defaultRowHeight="16" x14ac:dyDescent="0.2"/>
  <cols>
    <col min="1" max="1" width="27.5" customWidth="1"/>
    <col min="2" max="2" width="5.1640625" customWidth="1"/>
  </cols>
  <sheetData>
    <row r="1" spans="1:4" ht="21" x14ac:dyDescent="0.25">
      <c r="A1" s="2" t="s">
        <v>296</v>
      </c>
    </row>
    <row r="2" spans="1:4" ht="19" x14ac:dyDescent="0.25">
      <c r="A2" s="7" t="str">
        <f>VD!A1</f>
        <v>Valuation drivers section</v>
      </c>
    </row>
    <row r="3" spans="1:4" x14ac:dyDescent="0.2">
      <c r="A3" s="47" t="s">
        <v>101</v>
      </c>
    </row>
    <row r="4" spans="1:4" x14ac:dyDescent="0.2">
      <c r="A4" s="13"/>
      <c r="B4" s="13"/>
      <c r="C4" s="13"/>
      <c r="D4" s="13"/>
    </row>
    <row r="5" spans="1:4" x14ac:dyDescent="0.2">
      <c r="A5" s="28" t="s">
        <v>39</v>
      </c>
      <c r="B5" s="50" t="s">
        <v>40</v>
      </c>
      <c r="C5" s="33"/>
      <c r="D5" s="33"/>
    </row>
    <row r="6" spans="1:4" x14ac:dyDescent="0.2">
      <c r="A6" s="1" t="s">
        <v>297</v>
      </c>
      <c r="B6" s="52"/>
      <c r="C6" s="20"/>
      <c r="D6" s="20">
        <v>13000</v>
      </c>
    </row>
    <row r="7" spans="1:4" x14ac:dyDescent="0.2">
      <c r="A7" t="s">
        <v>119</v>
      </c>
      <c r="B7" s="53"/>
      <c r="C7" s="19"/>
      <c r="D7" s="19">
        <f>-ND!C15</f>
        <v>-131</v>
      </c>
    </row>
    <row r="8" spans="1:4" x14ac:dyDescent="0.2">
      <c r="B8" s="53"/>
      <c r="C8" s="19"/>
      <c r="D8" s="19"/>
    </row>
    <row r="9" spans="1:4" x14ac:dyDescent="0.2">
      <c r="A9" t="s">
        <v>298</v>
      </c>
      <c r="B9" s="53"/>
      <c r="C9" s="19">
        <f>NWC!AO22</f>
        <v>504.70833333333331</v>
      </c>
      <c r="D9" s="19"/>
    </row>
    <row r="10" spans="1:4" x14ac:dyDescent="0.2">
      <c r="A10" t="s">
        <v>300</v>
      </c>
      <c r="B10" s="53"/>
      <c r="C10" s="22">
        <f>NWC!AL22</f>
        <v>398</v>
      </c>
      <c r="D10" s="19"/>
    </row>
    <row r="11" spans="1:4" x14ac:dyDescent="0.2">
      <c r="A11" s="1" t="s">
        <v>299</v>
      </c>
      <c r="B11" s="52"/>
      <c r="C11" s="20"/>
      <c r="D11" s="20">
        <f>C10-C9</f>
        <v>-106.70833333333331</v>
      </c>
    </row>
    <row r="12" spans="1:4" x14ac:dyDescent="0.2">
      <c r="B12" s="53"/>
      <c r="C12" s="19"/>
      <c r="D12" s="19"/>
    </row>
    <row r="13" spans="1:4" x14ac:dyDescent="0.2">
      <c r="A13" s="39" t="s">
        <v>301</v>
      </c>
      <c r="B13" s="56"/>
      <c r="C13" s="37"/>
      <c r="D13" s="37">
        <f>SUM(D6:D12)</f>
        <v>12762.291666666666</v>
      </c>
    </row>
    <row r="14" spans="1:4" x14ac:dyDescent="0.2">
      <c r="A14" s="16" t="str">
        <f>A2&amp;" - "&amp;A1</f>
        <v>Valuation drivers section - Enterprise value to equity value bridge</v>
      </c>
    </row>
    <row r="15" spans="1:4" x14ac:dyDescent="0.2">
      <c r="A15" s="16" t="s">
        <v>115</v>
      </c>
    </row>
    <row r="17" spans="1:4" hidden="1" x14ac:dyDescent="0.2">
      <c r="A17" t="s">
        <v>45</v>
      </c>
      <c r="C17">
        <f>'Lead-PL'!C6</f>
        <v>6821</v>
      </c>
      <c r="D17">
        <f>'Lead-PL'!D6</f>
        <v>8163</v>
      </c>
    </row>
  </sheetData>
  <hyperlinks>
    <hyperlink ref="A3" location="Contents!A1" display="Back to: Table of contents" xr:uid="{37FB580C-E22C-F442-9B41-01C0337675AA}"/>
  </hyperlinks>
  <pageMargins left="0.70866141732283472" right="0.70866141732283472" top="1.3385826771653544" bottom="0.74803149606299213" header="0.31496062992125984" footer="0.31496062992125984"/>
  <pageSetup paperSize="9" scale="97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drawing r:id="rId1"/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D6AEC-8310-1D4C-A68B-1A4AC1DA2A11}">
  <sheetPr>
    <tabColor theme="5"/>
    <pageSetUpPr fitToPage="1"/>
  </sheetPr>
  <dimension ref="A1:E32"/>
  <sheetViews>
    <sheetView showGridLines="0" zoomScaleNormal="100" workbookViewId="0">
      <selection activeCell="B14" sqref="B14"/>
    </sheetView>
  </sheetViews>
  <sheetFormatPr baseColWidth="10" defaultRowHeight="16" x14ac:dyDescent="0.2"/>
  <cols>
    <col min="1" max="1" width="27.5" customWidth="1"/>
    <col min="2" max="2" width="5.1640625" customWidth="1"/>
  </cols>
  <sheetData>
    <row r="1" spans="1:5" ht="21" x14ac:dyDescent="0.25">
      <c r="A1" s="2" t="s">
        <v>10</v>
      </c>
    </row>
    <row r="2" spans="1:5" ht="19" x14ac:dyDescent="0.25">
      <c r="A2" s="7" t="str">
        <f>VD!A1</f>
        <v>Valuation drivers section</v>
      </c>
    </row>
    <row r="3" spans="1:5" x14ac:dyDescent="0.2">
      <c r="A3" s="47" t="s">
        <v>101</v>
      </c>
    </row>
    <row r="4" spans="1:5" x14ac:dyDescent="0.2">
      <c r="A4" s="13"/>
      <c r="B4" s="13"/>
      <c r="C4" s="13"/>
      <c r="D4" s="13"/>
      <c r="E4" s="13"/>
    </row>
    <row r="5" spans="1:5" x14ac:dyDescent="0.2">
      <c r="A5" s="28" t="s">
        <v>39</v>
      </c>
      <c r="B5" s="50" t="s">
        <v>40</v>
      </c>
      <c r="C5" s="33" t="s">
        <v>41</v>
      </c>
      <c r="D5" s="33" t="s">
        <v>42</v>
      </c>
      <c r="E5" s="33" t="s">
        <v>43</v>
      </c>
    </row>
    <row r="6" spans="1:5" x14ac:dyDescent="0.2">
      <c r="A6" s="1" t="s">
        <v>58</v>
      </c>
      <c r="B6" s="52"/>
      <c r="C6" s="20">
        <f>'Lead-PL'!C22</f>
        <v>313</v>
      </c>
      <c r="D6" s="20">
        <f>'Lead-PL'!D22</f>
        <v>213</v>
      </c>
      <c r="E6" s="20">
        <f>'Lead-PL'!E22</f>
        <v>550</v>
      </c>
    </row>
    <row r="7" spans="1:5" x14ac:dyDescent="0.2">
      <c r="A7" t="s">
        <v>57</v>
      </c>
      <c r="B7" s="53"/>
      <c r="C7" s="19">
        <f>-'Lead-PL'!C21</f>
        <v>87</v>
      </c>
      <c r="D7" s="19">
        <f>-'Lead-PL'!D21</f>
        <v>89</v>
      </c>
      <c r="E7" s="19">
        <f>-'Lead-PL'!E21</f>
        <v>187</v>
      </c>
    </row>
    <row r="8" spans="1:5" x14ac:dyDescent="0.2">
      <c r="A8" t="s">
        <v>56</v>
      </c>
      <c r="B8" s="53"/>
      <c r="C8" s="19">
        <f>-'Lead-PL'!C19</f>
        <v>-216</v>
      </c>
      <c r="D8" s="19">
        <f>-'Lead-PL'!D19</f>
        <v>-386</v>
      </c>
      <c r="E8" s="19">
        <f>-'Lead-PL'!E19</f>
        <v>-478</v>
      </c>
    </row>
    <row r="9" spans="1:5" x14ac:dyDescent="0.2">
      <c r="A9" t="s">
        <v>55</v>
      </c>
      <c r="B9" s="53"/>
      <c r="C9" s="19">
        <f>-'Lead-PL'!C18</f>
        <v>222</v>
      </c>
      <c r="D9" s="19">
        <f>-'Lead-PL'!D18</f>
        <v>324</v>
      </c>
      <c r="E9" s="19">
        <f>-'Lead-PL'!E18</f>
        <v>418</v>
      </c>
    </row>
    <row r="10" spans="1:5" x14ac:dyDescent="0.2">
      <c r="A10" t="s">
        <v>54</v>
      </c>
      <c r="B10" s="53"/>
      <c r="C10" s="19">
        <f>-'Lead-PL'!C16</f>
        <v>117</v>
      </c>
      <c r="D10" s="19">
        <f>-'Lead-PL'!D16</f>
        <v>357</v>
      </c>
      <c r="E10" s="19">
        <f>-'Lead-PL'!E16</f>
        <v>454</v>
      </c>
    </row>
    <row r="11" spans="1:5" x14ac:dyDescent="0.2">
      <c r="A11" s="39" t="s">
        <v>64</v>
      </c>
      <c r="B11" s="56">
        <v>1</v>
      </c>
      <c r="C11" s="37">
        <f>SUM(C6:C10)</f>
        <v>523</v>
      </c>
      <c r="D11" s="37">
        <f t="shared" ref="D11:E11" si="0">SUM(D6:D10)</f>
        <v>597</v>
      </c>
      <c r="E11" s="37">
        <f t="shared" si="0"/>
        <v>1131</v>
      </c>
    </row>
    <row r="12" spans="1:5" x14ac:dyDescent="0.2">
      <c r="A12" s="51" t="s">
        <v>102</v>
      </c>
      <c r="B12" s="53"/>
      <c r="C12" s="19"/>
      <c r="D12" s="19"/>
      <c r="E12" s="19"/>
    </row>
    <row r="13" spans="1:5" x14ac:dyDescent="0.2">
      <c r="A13" t="s">
        <v>111</v>
      </c>
      <c r="B13" s="53">
        <v>2</v>
      </c>
      <c r="C13" s="58">
        <v>0</v>
      </c>
      <c r="D13" s="58">
        <v>0</v>
      </c>
      <c r="E13" s="58">
        <f>12*3</f>
        <v>36</v>
      </c>
    </row>
    <row r="14" spans="1:5" x14ac:dyDescent="0.2">
      <c r="A14" t="s">
        <v>110</v>
      </c>
      <c r="B14" s="53">
        <v>3</v>
      </c>
      <c r="C14" s="58">
        <v>0</v>
      </c>
      <c r="D14" s="58">
        <v>0</v>
      </c>
      <c r="E14" s="58">
        <v>65</v>
      </c>
    </row>
    <row r="15" spans="1:5" x14ac:dyDescent="0.2">
      <c r="A15" t="s">
        <v>109</v>
      </c>
      <c r="B15" s="53">
        <v>4</v>
      </c>
      <c r="C15" s="58">
        <v>0</v>
      </c>
      <c r="D15" s="58">
        <v>100</v>
      </c>
      <c r="E15" s="19">
        <v>-100</v>
      </c>
    </row>
    <row r="16" spans="1:5" x14ac:dyDescent="0.2">
      <c r="A16" t="s">
        <v>112</v>
      </c>
      <c r="B16" s="53">
        <v>5</v>
      </c>
      <c r="C16" s="58">
        <v>0</v>
      </c>
      <c r="D16" s="58">
        <v>46</v>
      </c>
      <c r="E16" s="58">
        <v>79</v>
      </c>
    </row>
    <row r="17" spans="1:5" x14ac:dyDescent="0.2">
      <c r="A17" t="s">
        <v>108</v>
      </c>
      <c r="B17" s="53">
        <v>6</v>
      </c>
      <c r="C17" s="19">
        <v>-21</v>
      </c>
      <c r="D17" s="58">
        <v>0</v>
      </c>
      <c r="E17" s="58">
        <v>0</v>
      </c>
    </row>
    <row r="18" spans="1:5" x14ac:dyDescent="0.2">
      <c r="A18" s="6" t="s">
        <v>103</v>
      </c>
      <c r="B18" s="53"/>
      <c r="C18" s="57">
        <f>SUM(C13:C17)</f>
        <v>-21</v>
      </c>
      <c r="D18" s="57">
        <f>SUM(D13:D17)</f>
        <v>146</v>
      </c>
      <c r="E18" s="57">
        <f>SUM(E13:E17)</f>
        <v>80</v>
      </c>
    </row>
    <row r="19" spans="1:5" x14ac:dyDescent="0.2">
      <c r="A19" s="39" t="s">
        <v>10</v>
      </c>
      <c r="B19" s="54"/>
      <c r="C19" s="37">
        <f>SUM(C11,C18)</f>
        <v>502</v>
      </c>
      <c r="D19" s="37">
        <f>SUM(D11,D18)</f>
        <v>743</v>
      </c>
      <c r="E19" s="37">
        <f>SUM(E11,E18)</f>
        <v>1211</v>
      </c>
    </row>
    <row r="20" spans="1:5" x14ac:dyDescent="0.2">
      <c r="A20" s="51" t="s">
        <v>104</v>
      </c>
      <c r="B20" s="53"/>
      <c r="C20" s="19"/>
      <c r="D20" s="19"/>
      <c r="E20" s="19"/>
    </row>
    <row r="21" spans="1:5" x14ac:dyDescent="0.2">
      <c r="A21" t="s">
        <v>113</v>
      </c>
      <c r="B21" s="53">
        <v>7</v>
      </c>
      <c r="C21" s="58">
        <f>(20-10)*12</f>
        <v>120</v>
      </c>
      <c r="D21" s="58">
        <f>(20-10)*12</f>
        <v>120</v>
      </c>
      <c r="E21" s="58">
        <f>(20-10)*12</f>
        <v>120</v>
      </c>
    </row>
    <row r="22" spans="1:5" x14ac:dyDescent="0.2">
      <c r="A22" t="s">
        <v>114</v>
      </c>
      <c r="B22" s="53">
        <v>8</v>
      </c>
      <c r="C22" s="19">
        <v>-35</v>
      </c>
      <c r="D22" s="19">
        <v>-35</v>
      </c>
      <c r="E22" s="19">
        <v>-35</v>
      </c>
    </row>
    <row r="23" spans="1:5" x14ac:dyDescent="0.2">
      <c r="A23" s="6" t="s">
        <v>105</v>
      </c>
      <c r="B23" s="53"/>
      <c r="C23" s="57">
        <f>SUM(C21:C22)</f>
        <v>85</v>
      </c>
      <c r="D23" s="57">
        <f>SUM(D21:D22)</f>
        <v>85</v>
      </c>
      <c r="E23" s="57">
        <f>SUM(E21:E22)</f>
        <v>85</v>
      </c>
    </row>
    <row r="24" spans="1:5" x14ac:dyDescent="0.2">
      <c r="A24" s="39" t="s">
        <v>106</v>
      </c>
      <c r="B24" s="54"/>
      <c r="C24" s="37">
        <f>SUM(C19,C23)</f>
        <v>587</v>
      </c>
      <c r="D24" s="37">
        <f>SUM(D19,D23)</f>
        <v>828</v>
      </c>
      <c r="E24" s="37">
        <f>SUM(E19,E23)</f>
        <v>1296</v>
      </c>
    </row>
    <row r="25" spans="1:5" x14ac:dyDescent="0.2">
      <c r="A25" s="51" t="s">
        <v>107</v>
      </c>
      <c r="B25" s="53"/>
    </row>
    <row r="26" spans="1:5" x14ac:dyDescent="0.2">
      <c r="A26" s="6" t="s">
        <v>64</v>
      </c>
      <c r="B26" s="53"/>
      <c r="C26" s="31">
        <f>C11/C32*100</f>
        <v>7.6674974343937841</v>
      </c>
      <c r="D26" s="31">
        <f>D11/D32*100</f>
        <v>7.3134876883498716</v>
      </c>
      <c r="E26" s="31">
        <f>E11/E32*100</f>
        <v>12.424475447654618</v>
      </c>
    </row>
    <row r="27" spans="1:5" x14ac:dyDescent="0.2">
      <c r="A27" s="6" t="s">
        <v>10</v>
      </c>
      <c r="B27" s="53"/>
      <c r="C27" s="31">
        <f>C19/C32*100</f>
        <v>7.3596246884621017</v>
      </c>
      <c r="D27" s="31">
        <f>D19/D32*100</f>
        <v>9.1020458164890368</v>
      </c>
      <c r="E27" s="31">
        <f>E19/E32*100</f>
        <v>13.303306602219047</v>
      </c>
    </row>
    <row r="28" spans="1:5" x14ac:dyDescent="0.2">
      <c r="A28" s="18" t="s">
        <v>106</v>
      </c>
      <c r="B28" s="55"/>
      <c r="C28" s="27">
        <f>C24/C32*100</f>
        <v>8.6057762791379577</v>
      </c>
      <c r="D28" s="27">
        <f>D24/D32*100</f>
        <v>10.143329658213892</v>
      </c>
      <c r="E28" s="27">
        <f>E24/E32*100</f>
        <v>14.237064703943755</v>
      </c>
    </row>
    <row r="29" spans="1:5" x14ac:dyDescent="0.2">
      <c r="A29" s="16" t="str">
        <f>A2&amp;" - "&amp;A1</f>
        <v>Valuation drivers section - Adjusted EBITDA</v>
      </c>
    </row>
    <row r="30" spans="1:5" x14ac:dyDescent="0.2">
      <c r="A30" s="16" t="s">
        <v>115</v>
      </c>
    </row>
    <row r="32" spans="1:5" hidden="1" x14ac:dyDescent="0.2">
      <c r="A32" t="s">
        <v>45</v>
      </c>
      <c r="C32">
        <f>'Lead-PL'!C6</f>
        <v>6821</v>
      </c>
      <c r="D32">
        <f>'Lead-PL'!D6</f>
        <v>8163</v>
      </c>
      <c r="E32">
        <f>'Lead-PL'!E6</f>
        <v>9103</v>
      </c>
    </row>
  </sheetData>
  <hyperlinks>
    <hyperlink ref="A3" location="Contents!A1" display="Back to: Table of contents" xr:uid="{69B7AA64-FB06-BF45-B7F7-838633EEDC95}"/>
  </hyperlinks>
  <pageMargins left="0.70866141732283472" right="0.70866141732283472" top="1.3385826771653544" bottom="0.74803149606299213" header="0.31496062992125984" footer="0.31496062992125984"/>
  <pageSetup paperSize="9" scale="94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drawing r:id="rId1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22</vt:i4>
      </vt:variant>
    </vt:vector>
  </HeadingPairs>
  <TitlesOfParts>
    <vt:vector size="54" baseType="lpstr">
      <vt:lpstr>Cover</vt:lpstr>
      <vt:lpstr>Contents</vt:lpstr>
      <vt:lpstr>Lead</vt:lpstr>
      <vt:lpstr>Lead-PL</vt:lpstr>
      <vt:lpstr>Lead-BS</vt:lpstr>
      <vt:lpstr>Lead-CF</vt:lpstr>
      <vt:lpstr>VD</vt:lpstr>
      <vt:lpstr>EVtoEQ</vt:lpstr>
      <vt:lpstr>AE</vt:lpstr>
      <vt:lpstr>ND</vt:lpstr>
      <vt:lpstr>NWC</vt:lpstr>
      <vt:lpstr>PL</vt:lpstr>
      <vt:lpstr>PL1</vt:lpstr>
      <vt:lpstr>PL2</vt:lpstr>
      <vt:lpstr>PL3</vt:lpstr>
      <vt:lpstr>PL4</vt:lpstr>
      <vt:lpstr>PL5</vt:lpstr>
      <vt:lpstr>BS</vt:lpstr>
      <vt:lpstr>BS1</vt:lpstr>
      <vt:lpstr>BS2</vt:lpstr>
      <vt:lpstr>BS3</vt:lpstr>
      <vt:lpstr>BS4</vt:lpstr>
      <vt:lpstr>BS5</vt:lpstr>
      <vt:lpstr>CF</vt:lpstr>
      <vt:lpstr>CF1</vt:lpstr>
      <vt:lpstr>CF2</vt:lpstr>
      <vt:lpstr>CF3</vt:lpstr>
      <vt:lpstr>FC</vt:lpstr>
      <vt:lpstr>FC1</vt:lpstr>
      <vt:lpstr>FC2</vt:lpstr>
      <vt:lpstr>FC3</vt:lpstr>
      <vt:lpstr>FC4</vt:lpstr>
      <vt:lpstr>AE!Print_Area</vt:lpstr>
      <vt:lpstr>BS!Print_Area</vt:lpstr>
      <vt:lpstr>'BS2'!Print_Area</vt:lpstr>
      <vt:lpstr>'BS3'!Print_Area</vt:lpstr>
      <vt:lpstr>'BS4'!Print_Area</vt:lpstr>
      <vt:lpstr>'BS5'!Print_Area</vt:lpstr>
      <vt:lpstr>'CF1'!Print_Area</vt:lpstr>
      <vt:lpstr>'CF2'!Print_Area</vt:lpstr>
      <vt:lpstr>'CF3'!Print_Area</vt:lpstr>
      <vt:lpstr>Contents!Print_Area</vt:lpstr>
      <vt:lpstr>Cover!Print_Area</vt:lpstr>
      <vt:lpstr>EVtoEQ!Print_Area</vt:lpstr>
      <vt:lpstr>FC!Print_Area</vt:lpstr>
      <vt:lpstr>'FC1'!Print_Area</vt:lpstr>
      <vt:lpstr>'FC2'!Print_Area</vt:lpstr>
      <vt:lpstr>'FC3'!Print_Area</vt:lpstr>
      <vt:lpstr>'FC4'!Print_Area</vt:lpstr>
      <vt:lpstr>'Lead-PL'!Print_Area</vt:lpstr>
      <vt:lpstr>'PL1'!Print_Area</vt:lpstr>
      <vt:lpstr>'PL2'!Print_Area</vt:lpstr>
      <vt:lpstr>'PL4'!Print_Area</vt:lpstr>
      <vt:lpstr>'PL5'!Print_Area</vt:lpstr>
    </vt:vector>
  </TitlesOfParts>
  <Manager>Divestopia</Manager>
  <Company>Divestopia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Divestopia - Financial Fact Book Template</dc:title>
  <dc:subject>Financial fact book for selling your Company</dc:subject>
  <dc:creator>Divestopia</dc:creator>
  <cp:keywords>Fact book, Databook, sell side report</cp:keywords>
  <dc:description>For more info go to www.divestopia.com</dc:description>
  <cp:lastModifiedBy>Microsoft Office-gebruiker</cp:lastModifiedBy>
  <cp:lastPrinted>2020-03-23T14:20:04Z</cp:lastPrinted>
  <dcterms:created xsi:type="dcterms:W3CDTF">2020-03-18T12:26:34Z</dcterms:created>
  <dcterms:modified xsi:type="dcterms:W3CDTF">2020-03-23T14:20:30Z</dcterms:modified>
  <cp:category>Fact Book</cp:category>
</cp:coreProperties>
</file>